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30" tabRatio="973" activeTab="3"/>
  </bookViews>
  <sheets>
    <sheet name="TARTALOMJEGYZÉK" sheetId="1" r:id="rId1"/>
    <sheet name="ALAPADATOK" sheetId="2" r:id="rId2"/>
    <sheet name="KV_ÖSSZEFÜGGÉSEK" sheetId="3" r:id="rId3"/>
    <sheet name="KV_1.1.sz.mell." sheetId="4" r:id="rId4"/>
    <sheet name="KV_1.2.sz.mell." sheetId="5" r:id="rId5"/>
    <sheet name="Munka2" sheetId="6" r:id="rId6"/>
    <sheet name="KV_1.3.sz.mell." sheetId="7" r:id="rId7"/>
    <sheet name="KV_1.4.sz.mell." sheetId="8" r:id="rId8"/>
    <sheet name="KV_2.1.sz.mell." sheetId="9" r:id="rId9"/>
    <sheet name="KV_2.2.sz.mell." sheetId="10" r:id="rId10"/>
    <sheet name="KV_ELLENŐRZÉS" sheetId="11" r:id="rId11"/>
    <sheet name="KV_3.sz.mell." sheetId="12" r:id="rId12"/>
    <sheet name="KV_4.sz.mell." sheetId="13" r:id="rId13"/>
    <sheet name="KV_5.sz.mell." sheetId="14" r:id="rId14"/>
    <sheet name="KV_6.sz.mell." sheetId="15" r:id="rId15"/>
    <sheet name="KV_7.sz.mell." sheetId="16" r:id="rId16"/>
    <sheet name="KV_8.sz.mell." sheetId="17" r:id="rId17"/>
    <sheet name="KV_9.1.sz.mell" sheetId="18" r:id="rId18"/>
    <sheet name="KV_9.1.1.sz.mell" sheetId="19" r:id="rId19"/>
    <sheet name="KV_9.1.2.sz.mell." sheetId="20" r:id="rId20"/>
    <sheet name="KV_9.1.3.sz.mell" sheetId="21" r:id="rId21"/>
    <sheet name="KV_9.2.sz.mell" sheetId="22" r:id="rId22"/>
    <sheet name="KV_9.2.1.sz.mell" sheetId="23" r:id="rId23"/>
    <sheet name="KV_9.2.2.sz.mell" sheetId="24" r:id="rId24"/>
    <sheet name="KV_9.2.3.sz.mell" sheetId="25" r:id="rId25"/>
    <sheet name="KV_9.3.sz.mell" sheetId="26" r:id="rId26"/>
    <sheet name="KV_9.3.1.sz.mell" sheetId="27" r:id="rId27"/>
    <sheet name="KV_9.3.2.sz.mell" sheetId="28" r:id="rId28"/>
    <sheet name="KV_9.3.3.sz.mell" sheetId="29" r:id="rId29"/>
    <sheet name="KV_9.4.sz.mell" sheetId="30" r:id="rId30"/>
    <sheet name="KV_9.4.1.sz.mell" sheetId="31" r:id="rId31"/>
    <sheet name="KV_9.4.2.sz.mell" sheetId="32" r:id="rId32"/>
    <sheet name="KV_9.4.3.sz.mell" sheetId="33" r:id="rId33"/>
    <sheet name="KV_9.5.sz.mell" sheetId="34" r:id="rId34"/>
    <sheet name="KV_9.5.1.sz.mell" sheetId="35" r:id="rId35"/>
    <sheet name="KV_9.5.2.sz.mell" sheetId="36" r:id="rId36"/>
    <sheet name="KV_9.5.3.sz.mell" sheetId="37" r:id="rId37"/>
    <sheet name="KV_10.sz.mell" sheetId="38" r:id="rId38"/>
    <sheet name="KV_1.sz.tájékoztató_t." sheetId="39" r:id="rId39"/>
    <sheet name="KV_2.sz.tájékoztató_t." sheetId="40" r:id="rId40"/>
    <sheet name="KV_3.sz.tájékoztató_t." sheetId="41" r:id="rId41"/>
    <sheet name="KV_4.sz.tájékoztató_t." sheetId="42" r:id="rId42"/>
    <sheet name="KV_5.sz.tájékoztató_t" sheetId="43" r:id="rId43"/>
    <sheet name="KV_6.sz.tájékoztató_t." sheetId="44" r:id="rId44"/>
    <sheet name="KV_7.sz.tájékoztató_t." sheetId="45" r:id="rId45"/>
    <sheet name="KV_8.sz.tájékoztató_t." sheetId="46" r:id="rId46"/>
  </sheets>
  <definedNames>
    <definedName name="_xlfn._FV" hidden="1">#NAME?</definedName>
    <definedName name="_xlfn.IFERROR" hidden="1">#NAME?</definedName>
    <definedName name="_xlfn.SINGLE" hidden="1">#NAME?</definedName>
    <definedName name="_xlnm.Print_Titles" localSheetId="18">'KV_9.1.1.sz.mell'!$1:$6</definedName>
    <definedName name="_xlnm.Print_Titles" localSheetId="19">'KV_9.1.2.sz.mell.'!$1:$6</definedName>
    <definedName name="_xlnm.Print_Titles" localSheetId="20">'KV_9.1.3.sz.mell'!$1:$6</definedName>
    <definedName name="_xlnm.Print_Titles" localSheetId="17">'KV_9.1.sz.mell'!$1:$6</definedName>
    <definedName name="_xlnm.Print_Titles" localSheetId="22">'KV_9.2.1.sz.mell'!$1:$6</definedName>
    <definedName name="_xlnm.Print_Titles" localSheetId="23">'KV_9.2.2.sz.mell'!$1:$6</definedName>
    <definedName name="_xlnm.Print_Titles" localSheetId="24">'KV_9.2.3.sz.mell'!$1:$6</definedName>
    <definedName name="_xlnm.Print_Titles" localSheetId="21">'KV_9.2.sz.mell'!$1:$6</definedName>
    <definedName name="_xlnm.Print_Titles" localSheetId="26">'KV_9.3.1.sz.mell'!$1:$6</definedName>
    <definedName name="_xlnm.Print_Titles" localSheetId="27">'KV_9.3.2.sz.mell'!$1:$6</definedName>
    <definedName name="_xlnm.Print_Titles" localSheetId="28">'KV_9.3.3.sz.mell'!$1:$6</definedName>
    <definedName name="_xlnm.Print_Titles" localSheetId="25">'KV_9.3.sz.mell'!$1:$6</definedName>
    <definedName name="_xlnm.Print_Titles" localSheetId="30">'KV_9.4.1.sz.mell'!$1:$6</definedName>
    <definedName name="_xlnm.Print_Titles" localSheetId="31">'KV_9.4.2.sz.mell'!$1:$6</definedName>
    <definedName name="_xlnm.Print_Titles" localSheetId="32">'KV_9.4.3.sz.mell'!$1:$6</definedName>
    <definedName name="_xlnm.Print_Titles" localSheetId="29">'KV_9.4.sz.mell'!$1:$6</definedName>
    <definedName name="_xlnm.Print_Titles" localSheetId="34">'KV_9.5.1.sz.mell'!$1:$6</definedName>
    <definedName name="_xlnm.Print_Titles" localSheetId="35">'KV_9.5.2.sz.mell'!$1:$6</definedName>
    <definedName name="_xlnm.Print_Titles" localSheetId="36">'KV_9.5.3.sz.mell'!$1:$6</definedName>
    <definedName name="_xlnm.Print_Titles" localSheetId="33">'KV_9.5.sz.mell'!$1:$6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6">'KV_1.3.sz.mell.'!$A$1:$C$164</definedName>
    <definedName name="_xlnm.Print_Area" localSheetId="7">'KV_1.4.sz.mell.'!$A$1:$C$164</definedName>
    <definedName name="_xlnm.Print_Area" localSheetId="38">'KV_1.sz.tájékoztató_t.'!$A$1:$E$157</definedName>
    <definedName name="_xlnm.Print_Area" localSheetId="44">'KV_7.sz.tájékoztató_t.'!$A$2:$E$40</definedName>
    <definedName name="_xlnm.Print_Area" localSheetId="0">'TARTALOMJEGYZÉK'!$A$1:$C$37</definedName>
  </definedNames>
  <calcPr fullCalcOnLoad="1"/>
</workbook>
</file>

<file path=xl/comments46.xml><?xml version="1.0" encoding="utf-8"?>
<comments xmlns="http://schemas.openxmlformats.org/spreadsheetml/2006/main">
  <authors>
    <author>Dr. Szente K?lm?n</author>
    <author>szentek</author>
  </authors>
  <commentList>
    <comment ref="B5" authorId="0">
      <text>
        <r>
          <rPr>
            <b/>
            <sz val="9"/>
            <rFont val="Tahoma"/>
            <family val="2"/>
          </rPr>
          <t>Dr. Szente Kálmán: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 xml:space="preserve">Amennyiben a pályázat nyer vagy döntés születik a kivitelezésről.
</t>
        </r>
      </text>
    </comment>
    <comment ref="B6" authorId="1">
      <text>
        <r>
          <rPr>
            <b/>
            <sz val="12"/>
            <rFont val="Tahoma"/>
            <family val="2"/>
          </rPr>
          <t>szentek:</t>
        </r>
        <r>
          <rPr>
            <sz val="12"/>
            <rFont val="Tahoma"/>
            <family val="2"/>
          </rPr>
          <t xml:space="preserve">
Majthényi u. járda, 
Rózsika u. járda, 
Sport u. járda,
Koppány út+támfal,
Konyha kiviteli terv
Tersztyánszky járda + vízrendezés,
Hivatal kazánterv, 
Rendelő rámpa,
</t>
        </r>
      </text>
    </comment>
    <comment ref="B13" authorId="0">
      <text>
        <r>
          <rPr>
            <b/>
            <sz val="9"/>
            <rFont val="Tahoma"/>
            <family val="2"/>
          </rPr>
          <t>Dr. Szente Kálmán:</t>
        </r>
        <r>
          <rPr>
            <sz val="9"/>
            <rFont val="Tahoma"/>
            <family val="2"/>
          </rPr>
          <t xml:space="preserve">
Terv, útépítési és vízjogi engedély rendelkezésre áll.
</t>
        </r>
      </text>
    </comment>
    <comment ref="B14" authorId="1">
      <text>
        <r>
          <rPr>
            <b/>
            <sz val="12"/>
            <rFont val="Tahoma"/>
            <family val="2"/>
          </rPr>
          <t>szentek:</t>
        </r>
        <r>
          <rPr>
            <sz val="12"/>
            <rFont val="Tahoma"/>
            <family val="2"/>
          </rPr>
          <t xml:space="preserve">
Teljes bekerülési költsége
 ~100-110MFt +ÁFA
Kivitelező: STÜ
</t>
        </r>
      </text>
    </comment>
    <comment ref="B16" authorId="1">
      <text>
        <r>
          <rPr>
            <b/>
            <sz val="9"/>
            <rFont val="Tahoma"/>
            <family val="2"/>
          </rPr>
          <t>szentek: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Új elemek beépítése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Gumitégla csere, kerítésjavítás, homokcsere, hinta felújítás
</t>
        </r>
      </text>
    </comment>
    <comment ref="B17" authorId="0">
      <text>
        <r>
          <rPr>
            <b/>
            <sz val="9"/>
            <rFont val="Tahoma"/>
            <family val="2"/>
          </rPr>
          <t>Dr. Szente Kálmán:</t>
        </r>
        <r>
          <rPr>
            <sz val="9"/>
            <rFont val="Tahoma"/>
            <family val="2"/>
          </rPr>
          <t xml:space="preserve">
eszközök és/vagy ivókút</t>
        </r>
      </text>
    </comment>
    <comment ref="B18" authorId="1">
      <text>
        <r>
          <rPr>
            <b/>
            <sz val="12"/>
            <rFont val="Tahoma"/>
            <family val="2"/>
          </rPr>
          <t>szentek:</t>
        </r>
        <r>
          <rPr>
            <sz val="12"/>
            <rFont val="Tahoma"/>
            <family val="2"/>
          </rPr>
          <t xml:space="preserve">
Hiányzó járdaszakaszok pótlása (terve készül)
Kivitelező: STÜ
</t>
        </r>
      </text>
    </comment>
    <comment ref="B22" authorId="0">
      <text>
        <r>
          <rPr>
            <b/>
            <sz val="9"/>
            <rFont val="Tahoma"/>
            <family val="2"/>
          </rPr>
          <t>Dr. Szente Kálmán:</t>
        </r>
        <r>
          <rPr>
            <sz val="9"/>
            <rFont val="Tahoma"/>
            <family val="2"/>
          </rPr>
          <t xml:space="preserve">
Kőanyag Zsiráf adja
földmunka+murva+beton +munka
</t>
        </r>
      </text>
    </comment>
  </commentList>
</comments>
</file>

<file path=xl/sharedStrings.xml><?xml version="1.0" encoding="utf-8"?>
<sst xmlns="http://schemas.openxmlformats.org/spreadsheetml/2006/main" count="5232" uniqueCount="769">
  <si>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</si>
  <si>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</si>
  <si>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</si>
  <si>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</si>
  <si>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</si>
  <si>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</si>
  <si>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</si>
  <si>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</si>
  <si>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</si>
  <si>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</si>
  <si>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</si>
  <si>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</si>
  <si>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</si>
  <si>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</si>
  <si>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</si>
  <si>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</si>
  <si>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</si>
  <si>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</si>
  <si>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</si>
  <si>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</si>
  <si>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</si>
  <si>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</si>
  <si>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</si>
  <si>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</si>
  <si>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</si>
  <si>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</si>
  <si>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</si>
  <si>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</si>
  <si>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</si>
  <si>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</si>
  <si>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</si>
  <si>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</si>
  <si>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</si>
  <si>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</si>
  <si>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</si>
  <si>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</si>
  <si>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</si>
  <si>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</si>
  <si>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</si>
  <si>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</si>
  <si>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</si>
  <si>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</si>
  <si>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</si>
  <si>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</si>
  <si>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</si>
  <si>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</si>
  <si>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</si>
  <si>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</si>
  <si>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</si>
  <si>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</si>
  <si>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</si>
  <si>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</si>
  <si>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</si>
  <si>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</si>
  <si>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</si>
  <si>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</si>
  <si>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</si>
  <si>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</si>
  <si>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</si>
  <si>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</si>
  <si>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</si>
  <si>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</si>
  <si>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</si>
  <si>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</si>
  <si>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</si>
  <si>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</si>
  <si>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</si>
  <si>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</si>
  <si>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</si>
  <si>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</si>
  <si>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</si>
  <si>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</si>
  <si>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</si>
  <si>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</si>
  <si>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</si>
  <si>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</si>
  <si>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</si>
  <si>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</si>
  <si>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</si>
  <si>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</si>
  <si>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</si>
  <si>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</si>
  <si>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</si>
  <si>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</si>
  <si>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</si>
  <si>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</si>
  <si>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</si>
  <si>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</si>
  <si>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</si>
  <si>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</si>
  <si>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</si>
  <si>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</si>
  <si>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</si>
  <si>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</si>
  <si>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</si>
  <si>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</si>
  <si>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</si>
  <si>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</si>
  <si>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</si>
  <si>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</si>
  <si>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</si>
  <si>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</si>
  <si>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</si>
  <si>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</si>
  <si>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</si>
  <si>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</si>
  <si>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</si>
  <si>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</si>
  <si>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</si>
  <si>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</si>
  <si>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</si>
  <si>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</si>
  <si>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</si>
  <si>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</si>
  <si>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</si>
  <si>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</si>
  <si>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</si>
  <si>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</si>
  <si>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</si>
  <si>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</si>
  <si>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</si>
  <si>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</si>
  <si>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</si>
  <si>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</si>
  <si>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</si>
  <si>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</si>
  <si>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</si>
  <si>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</si>
  <si>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</si>
  <si>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</si>
  <si>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</si>
  <si>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</si>
  <si>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</si>
  <si>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</si>
  <si>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</si>
  <si>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</si>
  <si>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</si>
  <si>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</si>
  <si>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</si>
  <si>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</si>
  <si>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</si>
  <si>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</si>
  <si>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</si>
  <si>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</si>
  <si>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</si>
  <si>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</si>
  <si>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</si>
  <si>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</si>
  <si>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</si>
  <si>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</si>
  <si>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</si>
  <si>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</si>
  <si>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</si>
  <si>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</si>
  <si>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</si>
  <si>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</si>
  <si>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</si>
  <si>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</si>
  <si>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</si>
  <si>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</si>
  <si>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</si>
  <si>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</si>
  <si>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</si>
  <si>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</si>
  <si>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</si>
  <si>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</si>
  <si>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</si>
  <si>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</si>
  <si>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</si>
  <si>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</si>
  <si>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</si>
  <si>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</si>
  <si>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</si>
  <si>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</si>
  <si>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</si>
  <si>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</si>
  <si>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</si>
  <si>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</si>
  <si>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</si>
  <si>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</si>
  <si>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</si>
  <si>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</si>
  <si>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</si>
  <si>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</si>
  <si>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</si>
  <si>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</si>
  <si>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</si>
  <si>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</si>
  <si>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</si>
  <si>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</si>
  <si>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</si>
  <si>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</si>
  <si>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</si>
  <si>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</si>
  <si>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</si>
  <si>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</si>
  <si>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</si>
  <si>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</si>
  <si>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</si>
  <si>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</si>
  <si>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</si>
  <si>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</si>
  <si>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</si>
  <si>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</si>
  <si>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</si>
  <si>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</si>
  <si>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</si>
  <si>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</si>
  <si>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</si>
  <si>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</si>
  <si>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</si>
  <si>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</si>
  <si>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</si>
  <si>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</si>
  <si>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</si>
  <si>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</si>
  <si>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</si>
  <si>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</si>
  <si>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</si>
  <si>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</si>
  <si>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</si>
  <si>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</si>
  <si>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</si>
  <si>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</si>
  <si>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</si>
  <si>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</si>
  <si>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</si>
  <si>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</si>
  <si>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</si>
  <si>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</si>
  <si>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</si>
  <si>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</si>
  <si>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</si>
  <si>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</si>
  <si>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</si>
  <si>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</si>
  <si>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</si>
  <si>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</si>
  <si>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</si>
  <si>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</si>
  <si>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</si>
  <si>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</si>
  <si>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</si>
  <si>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</si>
  <si>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</si>
  <si>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</si>
  <si>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</si>
  <si>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</si>
  <si>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</si>
  <si>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</si>
  <si>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</si>
  <si>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</si>
  <si>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</si>
  <si>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</si>
  <si>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</si>
  <si>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</si>
  <si>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</si>
  <si>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</si>
  <si>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</si>
  <si>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</si>
  <si>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</si>
  <si>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</si>
  <si>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</si>
  <si>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</si>
  <si>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</si>
  <si>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</si>
  <si>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</si>
  <si>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</si>
  <si>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</si>
  <si>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</si>
  <si>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</si>
  <si>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</si>
  <si>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</si>
  <si>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</si>
  <si>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</si>
  <si>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</si>
  <si>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</si>
  <si>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</si>
  <si>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</si>
  <si>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</si>
  <si>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</si>
  <si>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</si>
  <si>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</si>
  <si>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</si>
  <si>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</si>
  <si>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</si>
  <si>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</si>
  <si>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</si>
  <si>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</si>
  <si>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</si>
  <si>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</si>
  <si>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</si>
  <si>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</si>
  <si>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</si>
  <si>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</si>
  <si>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</si>
  <si>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</si>
  <si>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</si>
  <si>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</si>
  <si>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</si>
  <si>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</si>
  <si>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</si>
  <si>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</si>
  <si>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</si>
  <si>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</si>
  <si>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</si>
  <si>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</si>
  <si>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</si>
  <si>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</si>
  <si>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</si>
  <si>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</si>
  <si>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</si>
  <si>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</si>
  <si>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</si>
  <si>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</si>
  <si>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</si>
  <si>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</si>
  <si>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</si>
  <si>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</si>
  <si>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</si>
  <si>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</si>
  <si>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</si>
  <si>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</si>
  <si>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</si>
  <si>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</si>
  <si>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</si>
  <si>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</si>
  <si>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</si>
  <si>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</si>
  <si>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</si>
  <si>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</si>
  <si>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</si>
  <si>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</si>
  <si>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</si>
  <si>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</si>
  <si>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</si>
  <si>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</si>
  <si>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</si>
  <si>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</si>
  <si>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</si>
  <si>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</si>
  <si>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</si>
  <si>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</si>
  <si>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</si>
  <si>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</si>
  <si>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</si>
  <si>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</si>
  <si>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</si>
  <si>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</si>
  <si>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</si>
  <si>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</si>
  <si>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</si>
  <si>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</si>
  <si>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</si>
  <si>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</si>
  <si>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</si>
  <si>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</si>
  <si>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</si>
  <si>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</si>
  <si>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</si>
  <si>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</si>
  <si>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</si>
  <si>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</si>
  <si>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</si>
  <si>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</si>
  <si>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</si>
  <si>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</si>
  <si>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</si>
  <si>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</si>
  <si>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</si>
  <si>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</si>
  <si>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</si>
  <si>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</si>
  <si>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</si>
  <si>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</si>
  <si>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</si>
  <si>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</si>
  <si>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</si>
  <si>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</si>
  <si>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</si>
  <si>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</si>
  <si>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</si>
  <si>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</si>
  <si>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</si>
  <si>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</si>
  <si>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</si>
  <si>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</si>
  <si>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</si>
  <si>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</si>
  <si>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</si>
  <si>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</si>
  <si>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</si>
  <si>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</si>
  <si>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</si>
  <si>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</si>
  <si>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</si>
  <si>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</si>
  <si>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</si>
  <si>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</si>
  <si>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</si>
  <si>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</si>
  <si>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</si>
  <si>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</si>
  <si>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</si>
  <si>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</si>
  <si>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</si>
  <si>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</si>
  <si>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</si>
  <si>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</si>
  <si>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</si>
  <si>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</si>
  <si>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</si>
  <si>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</si>
  <si>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</si>
  <si>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</si>
  <si>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</si>
  <si>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</si>
  <si>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</si>
  <si>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</si>
  <si>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</si>
  <si>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</si>
  <si>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</si>
  <si>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</si>
  <si>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</si>
  <si>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</si>
  <si>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</si>
  <si>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</si>
  <si>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</si>
  <si>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</si>
  <si>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</si>
  <si>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</si>
  <si>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</si>
  <si>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</si>
  <si>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</si>
  <si>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</si>
  <si>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</si>
  <si>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</si>
  <si>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</si>
  <si>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</si>
  <si>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</si>
  <si>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</si>
  <si>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</si>
  <si>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</si>
  <si>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</si>
  <si>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</si>
  <si>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</si>
  <si>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</si>
  <si>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</si>
  <si>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</si>
  <si>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</si>
  <si>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</si>
  <si>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</si>
  <si>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</si>
  <si>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</si>
  <si>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</si>
  <si>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</si>
  <si>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</si>
  <si>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</si>
  <si>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</si>
  <si>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</si>
  <si>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</si>
  <si>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</si>
  <si>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</si>
  <si>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</si>
  <si>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</si>
  <si>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</si>
  <si>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</si>
  <si>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</si>
  <si>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</si>
  <si>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</si>
  <si>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</si>
  <si>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</si>
  <si>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</si>
  <si>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</si>
  <si>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</si>
  <si>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</si>
  <si>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</si>
  <si>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</si>
  <si>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</si>
  <si>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</si>
  <si>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</si>
  <si>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</si>
  <si>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</si>
  <si>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</si>
  <si>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</si>
  <si>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</si>
  <si>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</si>
  <si>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</si>
  <si>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</si>
  <si>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</si>
  <si>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</si>
  <si>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</si>
  <si>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</si>
  <si>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</si>
  <si>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</si>
  <si>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</si>
  <si>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</si>
  <si>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</si>
  <si>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</si>
  <si>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</si>
  <si>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</si>
  <si>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</si>
  <si>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</si>
  <si>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</si>
  <si>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</si>
  <si>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</si>
  <si>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</si>
  <si>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</si>
  <si>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</si>
  <si>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</si>
  <si>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</si>
  <si>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</si>
  <si>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</si>
  <si>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</si>
  <si>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</si>
  <si>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</si>
  <si>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</si>
  <si>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</si>
  <si>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</si>
  <si>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</si>
  <si>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</si>
  <si>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</si>
  <si>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</si>
  <si>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</si>
  <si>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</si>
  <si>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</si>
  <si>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</si>
  <si>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</si>
  <si>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</si>
  <si>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</si>
  <si>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</si>
  <si>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</si>
  <si>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</si>
  <si>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</si>
  <si>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</si>
  <si>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</si>
  <si>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</si>
  <si>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</si>
  <si>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</si>
  <si>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</si>
  <si>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</si>
  <si>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</si>
  <si>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</si>
  <si>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</si>
  <si>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</si>
  <si>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</si>
  <si>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</si>
  <si>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</si>
  <si>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</si>
  <si>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</si>
  <si>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</si>
  <si>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</si>
  <si>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</si>
  <si>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</si>
  <si>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</si>
  <si>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</si>
  <si>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</si>
  <si>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</si>
  <si>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</si>
  <si>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</si>
  <si>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</si>
  <si>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</si>
  <si>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</si>
  <si>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</si>
  <si>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</si>
  <si>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</si>
  <si>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</si>
  <si>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</si>
  <si>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</si>
  <si>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</si>
  <si>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</si>
  <si>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</si>
  <si>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</si>
  <si>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ALAPADATOK</t>
  </si>
  <si>
    <t>1. költségvetési szerv neve</t>
  </si>
  <si>
    <t>2. költségvetési szerv neve</t>
  </si>
  <si>
    <t>3. költségvetési szerv neve</t>
  </si>
  <si>
    <t>BEVÉTELEI, KIADÁSAI</t>
  </si>
  <si>
    <t>05</t>
  </si>
  <si>
    <t>A dokumentációs rendszerben található táblázatok listája</t>
  </si>
  <si>
    <t>Dokumentum neve</t>
  </si>
  <si>
    <t>Alapadatok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</si>
  <si>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</si>
  <si>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</si>
  <si>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</si>
  <si>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</si>
  <si>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</si>
  <si>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</si>
  <si>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</si>
  <si>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</si>
  <si>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</si>
  <si>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</si>
  <si>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</si>
  <si>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</si>
  <si>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</si>
  <si>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</si>
  <si>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</si>
  <si>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</si>
  <si>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</si>
  <si>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</si>
  <si>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</si>
  <si>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</si>
  <si>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</si>
  <si>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</si>
  <si>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</si>
  <si>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</si>
  <si>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</si>
  <si>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</si>
  <si>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</si>
  <si>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</si>
  <si>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</si>
  <si>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</si>
  <si>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</si>
  <si>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</si>
  <si>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</si>
  <si>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</si>
  <si>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</si>
  <si>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9.3. melléklet</t>
  </si>
  <si>
    <t>9.4. melléklet</t>
  </si>
  <si>
    <t>/</t>
  </si>
  <si>
    <t>(</t>
  </si>
  <si>
    <t>)</t>
  </si>
  <si>
    <t>…</t>
  </si>
  <si>
    <t>a</t>
  </si>
  <si>
    <t>önkormányzati rendelethez</t>
  </si>
  <si>
    <t>9.5. melléklet</t>
  </si>
  <si>
    <t>10. melléklet</t>
  </si>
  <si>
    <t>1. számú tájékoztató tábla</t>
  </si>
  <si>
    <t>2. számú tájékoztató tábla</t>
  </si>
  <si>
    <t>3.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</si>
  <si>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</si>
  <si>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</si>
  <si>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</si>
  <si>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</si>
  <si>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Adatszolgáltatás az elismert tartozásállományról</t>
  </si>
  <si>
    <t>Az önkormányzat által adott közvetett támogatások (kedvezmények)</t>
  </si>
  <si>
    <t>Európai uniós támogatással megvalósuló projektek</t>
  </si>
  <si>
    <t>Előterjesztéskor</t>
  </si>
  <si>
    <t>Forintban</t>
  </si>
  <si>
    <t>Egyéb</t>
  </si>
  <si>
    <t>Telekadó</t>
  </si>
  <si>
    <t>Mellékletben külön?</t>
  </si>
  <si>
    <t>.</t>
  </si>
  <si>
    <t>Támogatási szerződés szerinti bevételek, kiadások</t>
  </si>
  <si>
    <t>Évenkénti ütemezés</t>
  </si>
  <si>
    <t>B=(C+D+E)</t>
  </si>
  <si>
    <t xml:space="preserve">Önkormányzaton kívüli EU-s projekthez történő hozzájárulás </t>
  </si>
  <si>
    <t xml:space="preserve">Összesen: </t>
  </si>
  <si>
    <r>
      <t>EU-s projekt neve, azonosítója:</t>
    </r>
    <r>
      <rPr>
        <sz val="11"/>
        <rFont val="Times New Roman"/>
        <family val="1"/>
      </rPr>
      <t>*</t>
    </r>
  </si>
  <si>
    <t xml:space="preserve">* Amennyiben több projekt megvalósítása történi egy időben akkor azokat külön-külön, projektenként be kell mutatni!  </t>
  </si>
  <si>
    <t>Igen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</si>
  <si>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</si>
  <si>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</si>
  <si>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</si>
  <si>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</si>
  <si>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</si>
  <si>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</si>
  <si>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2020. évi XC.
törvény 2.  melléklete száma*</t>
  </si>
  <si>
    <t>* Magyarország 2021. évi központi költségvetéséról szóló törvény</t>
  </si>
  <si>
    <t>SOLYMÁR NAGYKÖZSÉG ÖNKORMÁNYZATA</t>
  </si>
  <si>
    <t>Solymári Polgármesteri Hivatal</t>
  </si>
  <si>
    <t>Apáczai Csere János Művelődési Ház és Könyvtár</t>
  </si>
  <si>
    <t>Ezüstkor Szociális Gondozó Központ</t>
  </si>
  <si>
    <t>Solymári Óvoda-Bölcsőde</t>
  </si>
  <si>
    <t>Közvilágítás korszerűsítés</t>
  </si>
  <si>
    <t>Egyéb  közhatalmi bevételek</t>
  </si>
  <si>
    <t>Adópótlék, adóbírság</t>
  </si>
  <si>
    <t>ÁH-n belüli megelőlegezés visszafizetése</t>
  </si>
  <si>
    <t>MH kazáncsere</t>
  </si>
  <si>
    <t>2021</t>
  </si>
  <si>
    <t>MH gépek, berendezések</t>
  </si>
  <si>
    <t>EGK gépek, berendezések</t>
  </si>
  <si>
    <t>EGK ajtó, ablak</t>
  </si>
  <si>
    <t>Óvoda gépek, berendezések</t>
  </si>
  <si>
    <t>Óvoda fürdőszoba, nyílászáró, teraszburkolat</t>
  </si>
  <si>
    <t>PH informatikai eszközök, egyéb gép, berendezés</t>
  </si>
  <si>
    <t>ÖNK részesedések</t>
  </si>
  <si>
    <t>2021-2033</t>
  </si>
  <si>
    <t>ÖNK Csatornaberuházás</t>
  </si>
  <si>
    <t>ÖNK Gyalogátkelőhelyek</t>
  </si>
  <si>
    <t>ÖNK vagyoni értékű jogok, egyéb építmények</t>
  </si>
  <si>
    <t>ÖNK főzőkonyha</t>
  </si>
  <si>
    <t>ÖNK egyéb ingatlan</t>
  </si>
  <si>
    <t>ÖNK vis maior felújítások</t>
  </si>
  <si>
    <t>KÖLTSÉGVETÉSI RENDELET</t>
  </si>
  <si>
    <t>2025-2033.</t>
  </si>
  <si>
    <t>Solymár Nagyközség Önkormányzat</t>
  </si>
  <si>
    <t>5031 - Patak utca</t>
  </si>
  <si>
    <t>2019</t>
  </si>
  <si>
    <t>Közvilágítás fejlesztés üzletrész vásárlással</t>
  </si>
  <si>
    <t>2020</t>
  </si>
  <si>
    <t>1.1</t>
  </si>
  <si>
    <t>A települési önkormányzatok működésének általános támogatása</t>
  </si>
  <si>
    <t>1.2</t>
  </si>
  <si>
    <t>A települési önkormányzatok egyes köznevelési feladatainak támogatása</t>
  </si>
  <si>
    <t>1.3.2.1-1.3.2.2</t>
  </si>
  <si>
    <t>Egyes szociális és gyermekjóléti feladatok támogatása - család és gyermekjóléti szolgálat/központ támogatása</t>
  </si>
  <si>
    <t>Egyes szociális és gyermekjóléti feladatok támogatása - család és gyermekjóléti szolgálat/központ támogatása kivételével</t>
  </si>
  <si>
    <t>1.3.2.3-1.3.2.15</t>
  </si>
  <si>
    <t>1.3.3</t>
  </si>
  <si>
    <t>Bölcsőde, mini bölcsőde támogatása</t>
  </si>
  <si>
    <t>1.4.1</t>
  </si>
  <si>
    <t>Intézményi gyermekétkeztetés támogatása</t>
  </si>
  <si>
    <t>A települési önkormányzatok kulturális feladatainak támogatása</t>
  </si>
  <si>
    <t>VEKOP-5.3.2-15-2016-00031</t>
  </si>
  <si>
    <t>11742245-15390125</t>
  </si>
  <si>
    <t>Éves eredeti kiadási előirányzat: 2 131 652 545 Ft</t>
  </si>
  <si>
    <t>30 napon túli elismert tartozásállomány összesen: 191.085 Ft</t>
  </si>
  <si>
    <t>Bursa támogatás</t>
  </si>
  <si>
    <t>Német Nemzetiségi Önkormányzat Solymár</t>
  </si>
  <si>
    <t>Működési támogatás</t>
  </si>
  <si>
    <t>LZ működési támogatás</t>
  </si>
  <si>
    <t>Solymári Településüzemeltetési Kft.</t>
  </si>
  <si>
    <t>Bértámogatás</t>
  </si>
  <si>
    <t>Belső közlekedés támogatása</t>
  </si>
  <si>
    <t>Hunyadi Mátyás N.N. Általános Iskola</t>
  </si>
  <si>
    <t>Eszközbeszerzés</t>
  </si>
  <si>
    <t>Volánbusz</t>
  </si>
  <si>
    <t>Kékbusz támogatás</t>
  </si>
  <si>
    <t>OMSZ</t>
  </si>
  <si>
    <t>Ügyelet</t>
  </si>
  <si>
    <t>Solymári Polgárőr és Tűzoltó Egyesület</t>
  </si>
  <si>
    <t>Polgárőrség támogatása</t>
  </si>
  <si>
    <t>Tűzoltóság támogatása</t>
  </si>
  <si>
    <t>Rákóczi Szövetség</t>
  </si>
  <si>
    <t>Solymári Sportegyesület</t>
  </si>
  <si>
    <t>Óv-Lak Alapítvány</t>
  </si>
  <si>
    <t>Pitypang Alapítvány</t>
  </si>
  <si>
    <t>Gyermeklánc Alapítvány</t>
  </si>
  <si>
    <t>Corvinus Alapítvány</t>
  </si>
  <si>
    <t>Református egyház</t>
  </si>
  <si>
    <t>Katolikus egyház</t>
  </si>
  <si>
    <t>Civil szervezetek program</t>
  </si>
  <si>
    <t>Komposztálási program</t>
  </si>
  <si>
    <t>A beruházási tartalékkeret terhére tervezett fejlesztések 2021.</t>
  </si>
  <si>
    <t>Tervezési feladatok</t>
  </si>
  <si>
    <t>sz.</t>
  </si>
  <si>
    <r>
      <t>Helyszín/</t>
    </r>
    <r>
      <rPr>
        <sz val="12"/>
        <rFont val="Arial"/>
        <family val="2"/>
      </rPr>
      <t>Tárgy:</t>
    </r>
  </si>
  <si>
    <t>nettó</t>
  </si>
  <si>
    <t>ÁFA</t>
  </si>
  <si>
    <t>Bruttó</t>
  </si>
  <si>
    <r>
      <rPr>
        <b/>
        <sz val="12"/>
        <rFont val="Arial"/>
        <family val="2"/>
      </rPr>
      <t xml:space="preserve">Óvoda </t>
    </r>
    <r>
      <rPr>
        <sz val="12"/>
        <rFont val="Arial"/>
        <family val="2"/>
      </rPr>
      <t>kiviteli tervek</t>
    </r>
  </si>
  <si>
    <r>
      <t xml:space="preserve">Járda,rámpa, gépész. </t>
    </r>
    <r>
      <rPr>
        <sz val="12"/>
        <rFont val="Arial"/>
        <family val="2"/>
      </rPr>
      <t>tervek</t>
    </r>
  </si>
  <si>
    <r>
      <t xml:space="preserve">MűvHáz </t>
    </r>
    <r>
      <rPr>
        <sz val="12"/>
        <rFont val="Arial"/>
        <family val="2"/>
      </rPr>
      <t>tető+gépészet terv</t>
    </r>
  </si>
  <si>
    <t>Györgyhegy közmű terv</t>
  </si>
  <si>
    <r>
      <t xml:space="preserve">Hivatal </t>
    </r>
    <r>
      <rPr>
        <sz val="12"/>
        <rFont val="Arial"/>
        <family val="2"/>
      </rPr>
      <t>tető+gépészet terv</t>
    </r>
  </si>
  <si>
    <t>Tervezések összesen:</t>
  </si>
  <si>
    <t>Kivitelezési munkák</t>
  </si>
  <si>
    <r>
      <t xml:space="preserve">Hutweide Ásvány u. </t>
    </r>
    <r>
      <rPr>
        <sz val="12"/>
        <color indexed="8"/>
        <rFont val="Arial"/>
        <family val="2"/>
      </rPr>
      <t>újjáépítés</t>
    </r>
  </si>
  <si>
    <t>STÜ Kft. Telephely  I. ütem</t>
  </si>
  <si>
    <t>Térfigyelő kamerák</t>
  </si>
  <si>
    <r>
      <t>Széchenyi p</t>
    </r>
    <r>
      <rPr>
        <sz val="12"/>
        <rFont val="Arial"/>
        <family val="2"/>
      </rPr>
      <t>. játszótér felújítás</t>
    </r>
  </si>
  <si>
    <r>
      <rPr>
        <b/>
        <sz val="12"/>
        <rFont val="Arial"/>
        <family val="2"/>
      </rPr>
      <t>Szt. Erzsébet p.</t>
    </r>
    <r>
      <rPr>
        <sz val="12"/>
        <rFont val="Arial"/>
        <family val="2"/>
      </rPr>
      <t xml:space="preserve"> játszótér felújítás</t>
    </r>
  </si>
  <si>
    <r>
      <t>Járdaépítés</t>
    </r>
    <r>
      <rPr>
        <sz val="12"/>
        <rFont val="Arial"/>
        <family val="2"/>
      </rPr>
      <t xml:space="preserve"> Majthényi u.</t>
    </r>
  </si>
  <si>
    <t>Zöldfa köz gyalogút+korlát</t>
  </si>
  <si>
    <t>Plébánia udvar közösségi tér kialakítás</t>
  </si>
  <si>
    <t>Trianon emlékmű</t>
  </si>
  <si>
    <t>Vasút utca járda</t>
  </si>
  <si>
    <t>Audiométer (védőnők)</t>
  </si>
  <si>
    <t>Padok, asztalok (Templom tér, Hw. Bölcsi)</t>
  </si>
  <si>
    <t>Vízelvezető rácsok (Szab. u., Nagyk.)</t>
  </si>
  <si>
    <t>Nádas utca felújítás</t>
  </si>
  <si>
    <t>Ág-Árok utca önrész</t>
  </si>
  <si>
    <t>KIVITELEZÉS ÖSSZESEN:</t>
  </si>
  <si>
    <t>BERUHÁZÁS mindösszesen:</t>
  </si>
  <si>
    <t>8. számú tájékoztató tábla</t>
  </si>
  <si>
    <t>KV_8.sz.mell.!$A$1</t>
  </si>
  <si>
    <t>Polgármesteri hivatal költségvetési táblái (9.2.1., 9.2.2., 9.2.3.)</t>
  </si>
  <si>
    <t>Ellenőrzés az 1-es és 2.1., 2.2. mellékletek adatai esetében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</si>
</sst>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</numFmts>
  <fonts count="11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i/>
      <sz val="9"/>
      <name val="Times New Roman CE"/>
      <family val="0"/>
    </font>
    <font>
      <b/>
      <i/>
      <sz val="8"/>
      <name val="Times New Roman"/>
      <family val="1"/>
    </font>
    <font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i/>
      <sz val="12"/>
      <color indexed="8"/>
      <name val="Calibri"/>
      <family val="2"/>
    </font>
    <font>
      <sz val="10"/>
      <color indexed="9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b/>
      <i/>
      <sz val="11"/>
      <color indexed="9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8"/>
      <color rgb="FFFF0000"/>
      <name val="Times New Roman CE"/>
      <family val="0"/>
    </font>
    <font>
      <sz val="12"/>
      <color rgb="FFFF0000"/>
      <name val="Times New Roman CE"/>
      <family val="0"/>
    </font>
    <font>
      <i/>
      <sz val="12"/>
      <color theme="1"/>
      <name val="Calibri"/>
      <family val="2"/>
    </font>
    <font>
      <sz val="10"/>
      <color theme="0"/>
      <name val="Times New Roman CE"/>
      <family val="0"/>
    </font>
    <font>
      <b/>
      <sz val="14"/>
      <color rgb="FF000000"/>
      <name val="Times New Roman"/>
      <family val="1"/>
    </font>
    <font>
      <b/>
      <sz val="12"/>
      <color rgb="FFFF0000"/>
      <name val="Times New Roman CE"/>
      <family val="0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u val="single"/>
      <sz val="10"/>
      <color rgb="FF0000FF"/>
      <name val="Times New Roman CE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20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0" fillId="22" borderId="7" applyNumberFormat="0" applyFont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92" fillId="29" borderId="0" applyNumberFormat="0" applyBorder="0" applyAlignment="0" applyProtection="0"/>
    <xf numFmtId="0" fontId="93" fillId="30" borderId="8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31" borderId="0" applyNumberFormat="0" applyBorder="0" applyAlignment="0" applyProtection="0"/>
    <xf numFmtId="0" fontId="98" fillId="32" borderId="0" applyNumberFormat="0" applyBorder="0" applyAlignment="0" applyProtection="0"/>
    <xf numFmtId="0" fontId="99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0">
    <xf numFmtId="0" fontId="0" fillId="0" borderId="0" xfId="0" applyAlignment="1">
      <alignment/>
    </xf>
    <xf numFmtId="0" fontId="0" fillId="0" borderId="0" xfId="60" applyFont="1" applyFill="1">
      <alignment/>
      <protection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0" applyFont="1" applyFill="1" applyBorder="1" applyAlignment="1" applyProtection="1">
      <alignment horizontal="center" vertical="center" wrapText="1"/>
      <protection/>
    </xf>
    <xf numFmtId="0" fontId="6" fillId="0" borderId="0" xfId="60" applyFont="1" applyFill="1" applyBorder="1" applyAlignment="1" applyProtection="1">
      <alignment vertical="center" wrapText="1"/>
      <protection/>
    </xf>
    <xf numFmtId="0" fontId="17" fillId="0" borderId="10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3" xfId="60" applyFont="1" applyFill="1" applyBorder="1" applyAlignment="1" applyProtection="1">
      <alignment horizontal="left" vertical="center" wrapText="1" indent="1"/>
      <protection/>
    </xf>
    <xf numFmtId="0" fontId="17" fillId="0" borderId="14" xfId="60" applyFont="1" applyFill="1" applyBorder="1" applyAlignment="1" applyProtection="1">
      <alignment horizontal="left" vertical="center" wrapText="1" indent="1"/>
      <protection/>
    </xf>
    <xf numFmtId="0" fontId="17" fillId="0" borderId="15" xfId="60" applyFont="1" applyFill="1" applyBorder="1" applyAlignment="1" applyProtection="1">
      <alignment horizontal="left" vertical="center" wrapText="1" indent="1"/>
      <protection/>
    </xf>
    <xf numFmtId="49" fontId="17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0" applyFont="1" applyFill="1" applyBorder="1" applyAlignment="1" applyProtection="1">
      <alignment horizontal="left" vertical="center" wrapText="1" indent="1"/>
      <protection/>
    </xf>
    <xf numFmtId="0" fontId="15" fillId="0" borderId="22" xfId="60" applyFont="1" applyFill="1" applyBorder="1" applyAlignment="1" applyProtection="1">
      <alignment horizontal="left" vertical="center" wrapText="1" indent="1"/>
      <protection/>
    </xf>
    <xf numFmtId="0" fontId="15" fillId="0" borderId="23" xfId="60" applyFont="1" applyFill="1" applyBorder="1" applyAlignment="1" applyProtection="1">
      <alignment horizontal="left" vertical="center" wrapText="1" indent="1"/>
      <protection/>
    </xf>
    <xf numFmtId="0" fontId="15" fillId="0" borderId="24" xfId="60" applyFont="1" applyFill="1" applyBorder="1" applyAlignment="1" applyProtection="1">
      <alignment horizontal="left" vertical="center" wrapText="1" indent="1"/>
      <protection/>
    </xf>
    <xf numFmtId="0" fontId="7" fillId="0" borderId="22" xfId="60" applyFont="1" applyFill="1" applyBorder="1" applyAlignment="1" applyProtection="1">
      <alignment horizontal="center" vertical="center" wrapText="1"/>
      <protection/>
    </xf>
    <xf numFmtId="0" fontId="7" fillId="0" borderId="23" xfId="60" applyFont="1" applyFill="1" applyBorder="1" applyAlignment="1" applyProtection="1">
      <alignment horizontal="center" vertical="center" wrapText="1"/>
      <protection/>
    </xf>
    <xf numFmtId="166" fontId="17" fillId="0" borderId="11" xfId="0" applyNumberFormat="1" applyFont="1" applyFill="1" applyBorder="1" applyAlignment="1" applyProtection="1">
      <alignment vertical="center" wrapText="1"/>
      <protection locked="0"/>
    </xf>
    <xf numFmtId="166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60" applyFont="1" applyFill="1" applyBorder="1" applyAlignment="1" applyProtection="1">
      <alignment vertical="center" wrapText="1"/>
      <protection/>
    </xf>
    <xf numFmtId="0" fontId="15" fillId="0" borderId="25" xfId="60" applyFont="1" applyFill="1" applyBorder="1" applyAlignment="1" applyProtection="1">
      <alignment vertical="center" wrapText="1"/>
      <protection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60" applyFont="1" applyFill="1" applyBorder="1" applyAlignment="1" applyProtection="1">
      <alignment horizontal="center" vertical="center" wrapText="1"/>
      <protection/>
    </xf>
    <xf numFmtId="0" fontId="15" fillId="0" borderId="23" xfId="6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1" applyFont="1" applyFill="1" applyBorder="1" applyAlignment="1" applyProtection="1">
      <alignment horizontal="left" vertical="center" indent="1"/>
      <protection/>
    </xf>
    <xf numFmtId="0" fontId="2" fillId="0" borderId="0" xfId="60" applyFill="1">
      <alignment/>
      <protection/>
    </xf>
    <xf numFmtId="0" fontId="17" fillId="0" borderId="0" xfId="60" applyFont="1" applyFill="1">
      <alignment/>
      <protection/>
    </xf>
    <xf numFmtId="0" fontId="18" fillId="0" borderId="0" xfId="60" applyFont="1" applyFill="1">
      <alignment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center" vertical="center" wrapText="1"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6" fontId="21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6" fontId="7" fillId="0" borderId="26" xfId="0" applyNumberFormat="1" applyFont="1" applyFill="1" applyBorder="1" applyAlignment="1" applyProtection="1">
      <alignment horizontal="center" vertical="center" wrapText="1"/>
      <protection/>
    </xf>
    <xf numFmtId="166" fontId="15" fillId="0" borderId="27" xfId="0" applyNumberFormat="1" applyFont="1" applyFill="1" applyBorder="1" applyAlignment="1" applyProtection="1">
      <alignment horizontal="center" vertical="center" wrapText="1"/>
      <protection/>
    </xf>
    <xf numFmtId="166" fontId="15" fillId="0" borderId="28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7" fillId="0" borderId="29" xfId="0" applyNumberFormat="1" applyFont="1" applyFill="1" applyBorder="1" applyAlignment="1" applyProtection="1">
      <alignment vertical="center" wrapText="1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0" xfId="0" applyNumberFormat="1" applyFont="1" applyFill="1" applyBorder="1" applyAlignment="1" applyProtection="1">
      <alignment vertical="center" wrapText="1"/>
      <protection/>
    </xf>
    <xf numFmtId="166" fontId="15" fillId="0" borderId="23" xfId="0" applyNumberFormat="1" applyFont="1" applyFill="1" applyBorder="1" applyAlignment="1" applyProtection="1">
      <alignment vertical="center" wrapText="1"/>
      <protection/>
    </xf>
    <xf numFmtId="166" fontId="15" fillId="0" borderId="26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11" xfId="0" applyNumberFormat="1" applyFont="1" applyFill="1" applyBorder="1" applyAlignment="1" applyProtection="1">
      <alignment vertical="center" wrapText="1"/>
      <protection locked="0"/>
    </xf>
    <xf numFmtId="166" fontId="14" fillId="0" borderId="29" xfId="0" applyNumberFormat="1" applyFont="1" applyFill="1" applyBorder="1" applyAlignment="1" applyProtection="1">
      <alignment vertical="center" wrapText="1"/>
      <protection/>
    </xf>
    <xf numFmtId="166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15" xfId="0" applyNumberFormat="1" applyFont="1" applyFill="1" applyBorder="1" applyAlignment="1" applyProtection="1">
      <alignment vertical="center" wrapText="1"/>
      <protection locked="0"/>
    </xf>
    <xf numFmtId="166" fontId="14" fillId="0" borderId="30" xfId="0" applyNumberFormat="1" applyFont="1" applyFill="1" applyBorder="1" applyAlignment="1" applyProtection="1">
      <alignment vertical="center" wrapText="1"/>
      <protection/>
    </xf>
    <xf numFmtId="166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6" fontId="17" fillId="0" borderId="31" xfId="0" applyNumberFormat="1" applyFont="1" applyFill="1" applyBorder="1" applyAlignment="1" applyProtection="1">
      <alignment vertical="center" wrapText="1"/>
      <protection/>
    </xf>
    <xf numFmtId="166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6" fontId="9" fillId="0" borderId="0" xfId="0" applyNumberFormat="1" applyFont="1" applyFill="1" applyAlignment="1">
      <alignment horizontal="center" vertical="center" wrapText="1"/>
    </xf>
    <xf numFmtId="166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5" xfId="0" applyFont="1" applyFill="1" applyBorder="1" applyAlignment="1" applyProtection="1">
      <alignment vertical="center" wrapText="1"/>
      <protection locked="0"/>
    </xf>
    <xf numFmtId="166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1" applyFont="1" applyFill="1" applyBorder="1" applyAlignment="1" applyProtection="1">
      <alignment horizontal="center" vertical="center" wrapText="1"/>
      <protection/>
    </xf>
    <xf numFmtId="0" fontId="7" fillId="0" borderId="25" xfId="61" applyFont="1" applyFill="1" applyBorder="1" applyAlignment="1" applyProtection="1">
      <alignment horizontal="center" vertical="center"/>
      <protection/>
    </xf>
    <xf numFmtId="0" fontId="7" fillId="0" borderId="37" xfId="61" applyFont="1" applyFill="1" applyBorder="1" applyAlignment="1" applyProtection="1">
      <alignment horizontal="center" vertical="center"/>
      <protection/>
    </xf>
    <xf numFmtId="0" fontId="2" fillId="0" borderId="0" xfId="61" applyFill="1" applyProtection="1">
      <alignment/>
      <protection/>
    </xf>
    <xf numFmtId="0" fontId="17" fillId="0" borderId="22" xfId="61" applyFont="1" applyFill="1" applyBorder="1" applyAlignment="1" applyProtection="1">
      <alignment horizontal="left" vertical="center" indent="1"/>
      <protection/>
    </xf>
    <xf numFmtId="0" fontId="2" fillId="0" borderId="0" xfId="61" applyFill="1" applyAlignment="1" applyProtection="1">
      <alignment vertical="center"/>
      <protection/>
    </xf>
    <xf numFmtId="0" fontId="17" fillId="0" borderId="16" xfId="61" applyFont="1" applyFill="1" applyBorder="1" applyAlignment="1" applyProtection="1">
      <alignment horizontal="left" vertical="center" indent="1"/>
      <protection/>
    </xf>
    <xf numFmtId="166" fontId="17" fillId="0" borderId="38" xfId="61" applyNumberFormat="1" applyFont="1" applyFill="1" applyBorder="1" applyAlignment="1" applyProtection="1">
      <alignment vertical="center"/>
      <protection/>
    </xf>
    <xf numFmtId="0" fontId="17" fillId="0" borderId="17" xfId="61" applyFont="1" applyFill="1" applyBorder="1" applyAlignment="1" applyProtection="1">
      <alignment horizontal="left" vertical="center" indent="1"/>
      <protection/>
    </xf>
    <xf numFmtId="166" fontId="17" fillId="0" borderId="29" xfId="61" applyNumberFormat="1" applyFont="1" applyFill="1" applyBorder="1" applyAlignment="1" applyProtection="1">
      <alignment vertical="center"/>
      <protection/>
    </xf>
    <xf numFmtId="0" fontId="2" fillId="0" borderId="0" xfId="61" applyFill="1" applyAlignment="1" applyProtection="1">
      <alignment vertical="center"/>
      <protection locked="0"/>
    </xf>
    <xf numFmtId="166" fontId="17" fillId="0" borderId="34" xfId="61" applyNumberFormat="1" applyFont="1" applyFill="1" applyBorder="1" applyAlignment="1" applyProtection="1">
      <alignment vertical="center"/>
      <protection/>
    </xf>
    <xf numFmtId="166" fontId="15" fillId="0" borderId="26" xfId="61" applyNumberFormat="1" applyFont="1" applyFill="1" applyBorder="1" applyAlignment="1" applyProtection="1">
      <alignment vertical="center"/>
      <protection/>
    </xf>
    <xf numFmtId="0" fontId="17" fillId="0" borderId="18" xfId="61" applyFont="1" applyFill="1" applyBorder="1" applyAlignment="1" applyProtection="1">
      <alignment horizontal="left" vertical="center" indent="1"/>
      <protection/>
    </xf>
    <xf numFmtId="0" fontId="15" fillId="0" borderId="22" xfId="61" applyFont="1" applyFill="1" applyBorder="1" applyAlignment="1" applyProtection="1">
      <alignment horizontal="left" vertical="center" indent="1"/>
      <protection/>
    </xf>
    <xf numFmtId="166" fontId="15" fillId="0" borderId="26" xfId="61" applyNumberFormat="1" applyFont="1" applyFill="1" applyBorder="1" applyProtection="1">
      <alignment/>
      <protection/>
    </xf>
    <xf numFmtId="0" fontId="2" fillId="0" borderId="0" xfId="61" applyFill="1" applyProtection="1">
      <alignment/>
      <protection locked="0"/>
    </xf>
    <xf numFmtId="0" fontId="0" fillId="0" borderId="0" xfId="61" applyFont="1" applyFill="1" applyProtection="1">
      <alignment/>
      <protection/>
    </xf>
    <xf numFmtId="0" fontId="4" fillId="0" borderId="0" xfId="61" applyFont="1" applyFill="1" applyProtection="1">
      <alignment/>
      <protection locked="0"/>
    </xf>
    <xf numFmtId="0" fontId="6" fillId="0" borderId="0" xfId="61" applyFont="1" applyFill="1" applyProtection="1">
      <alignment/>
      <protection locked="0"/>
    </xf>
    <xf numFmtId="0" fontId="20" fillId="0" borderId="39" xfId="0" applyFont="1" applyFill="1" applyBorder="1" applyAlignment="1" applyProtection="1">
      <alignment horizontal="left" vertical="center" wrapText="1"/>
      <protection locked="0"/>
    </xf>
    <xf numFmtId="0" fontId="20" fillId="0" borderId="40" xfId="0" applyFont="1" applyFill="1" applyBorder="1" applyAlignment="1" applyProtection="1">
      <alignment horizontal="left" vertical="center" wrapText="1"/>
      <protection locked="0"/>
    </xf>
    <xf numFmtId="0" fontId="20" fillId="0" borderId="41" xfId="0" applyFont="1" applyFill="1" applyBorder="1" applyAlignment="1" applyProtection="1">
      <alignment horizontal="left" vertical="center" wrapText="1"/>
      <protection locked="0"/>
    </xf>
    <xf numFmtId="166" fontId="15" fillId="33" borderId="23" xfId="0" applyNumberFormat="1" applyFont="1" applyFill="1" applyBorder="1" applyAlignment="1" applyProtection="1">
      <alignment vertical="center" wrapText="1"/>
      <protection/>
    </xf>
    <xf numFmtId="166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60" applyFont="1" applyFill="1" applyBorder="1" applyAlignment="1" applyProtection="1">
      <alignment horizontal="left" vertical="center" wrapText="1" indent="1"/>
      <protection/>
    </xf>
    <xf numFmtId="0" fontId="6" fillId="0" borderId="0" xfId="60" applyFont="1" applyFill="1">
      <alignment/>
      <protection/>
    </xf>
    <xf numFmtId="166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5" fillId="0" borderId="23" xfId="60" applyFont="1" applyFill="1" applyBorder="1" applyAlignment="1" applyProtection="1">
      <alignment horizontal="left" vertical="center" wrapText="1"/>
      <protection/>
    </xf>
    <xf numFmtId="166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166" fontId="16" fillId="0" borderId="43" xfId="60" applyNumberFormat="1" applyFont="1" applyFill="1" applyBorder="1" applyAlignment="1" applyProtection="1">
      <alignment horizontal="left" vertical="center"/>
      <protection/>
    </xf>
    <xf numFmtId="0" fontId="17" fillId="0" borderId="28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indent="6"/>
      <protection/>
    </xf>
    <xf numFmtId="0" fontId="17" fillId="0" borderId="11" xfId="60" applyFont="1" applyFill="1" applyBorder="1" applyAlignment="1" applyProtection="1">
      <alignment horizontal="left" vertical="center" wrapText="1" indent="6"/>
      <protection/>
    </xf>
    <xf numFmtId="0" fontId="17" fillId="0" borderId="15" xfId="60" applyFont="1" applyFill="1" applyBorder="1" applyAlignment="1" applyProtection="1">
      <alignment horizontal="left" vertical="center" wrapText="1" indent="6"/>
      <protection/>
    </xf>
    <xf numFmtId="0" fontId="17" fillId="0" borderId="35" xfId="60" applyFont="1" applyFill="1" applyBorder="1" applyAlignment="1" applyProtection="1">
      <alignment horizontal="left" vertical="center" wrapText="1" indent="6"/>
      <protection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0" xfId="60" applyFont="1" applyFill="1" applyBorder="1">
      <alignment/>
      <protection/>
    </xf>
    <xf numFmtId="0" fontId="1" fillId="0" borderId="0" xfId="60" applyFont="1" applyFill="1">
      <alignment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/>
      <protection/>
    </xf>
    <xf numFmtId="0" fontId="0" fillId="0" borderId="23" xfId="60" applyFont="1" applyFill="1" applyBorder="1" applyAlignment="1">
      <alignment horizontal="center" vertical="center"/>
      <protection/>
    </xf>
    <xf numFmtId="0" fontId="0" fillId="0" borderId="26" xfId="60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7" fillId="0" borderId="44" xfId="6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6" fontId="17" fillId="0" borderId="12" xfId="0" applyNumberFormat="1" applyFont="1" applyFill="1" applyBorder="1" applyAlignment="1" applyProtection="1">
      <alignment vertical="center"/>
      <protection locked="0"/>
    </xf>
    <xf numFmtId="166" fontId="17" fillId="0" borderId="11" xfId="0" applyNumberFormat="1" applyFont="1" applyFill="1" applyBorder="1" applyAlignment="1" applyProtection="1">
      <alignment vertical="center"/>
      <protection locked="0"/>
    </xf>
    <xf numFmtId="166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7" fillId="0" borderId="22" xfId="60" applyFont="1" applyFill="1" applyBorder="1" applyAlignment="1" applyProtection="1">
      <alignment horizontal="center" vertical="center"/>
      <protection/>
    </xf>
    <xf numFmtId="0" fontId="17" fillId="0" borderId="20" xfId="60" applyFont="1" applyFill="1" applyBorder="1" applyAlignment="1" applyProtection="1">
      <alignment horizontal="center" vertical="center"/>
      <protection/>
    </xf>
    <xf numFmtId="0" fontId="17" fillId="0" borderId="17" xfId="60" applyFont="1" applyFill="1" applyBorder="1" applyAlignment="1" applyProtection="1">
      <alignment horizontal="center" vertical="center"/>
      <protection/>
    </xf>
    <xf numFmtId="0" fontId="17" fillId="0" borderId="19" xfId="60" applyFont="1" applyFill="1" applyBorder="1" applyAlignment="1" applyProtection="1">
      <alignment horizontal="center" vertical="center"/>
      <protection/>
    </xf>
    <xf numFmtId="168" fontId="15" fillId="0" borderId="26" xfId="40" applyNumberFormat="1" applyFont="1" applyFill="1" applyBorder="1" applyAlignment="1" applyProtection="1">
      <alignment/>
      <protection/>
    </xf>
    <xf numFmtId="168" fontId="17" fillId="0" borderId="45" xfId="40" applyNumberFormat="1" applyFont="1" applyFill="1" applyBorder="1" applyAlignment="1" applyProtection="1">
      <alignment/>
      <protection locked="0"/>
    </xf>
    <xf numFmtId="168" fontId="17" fillId="0" borderId="29" xfId="40" applyNumberFormat="1" applyFont="1" applyFill="1" applyBorder="1" applyAlignment="1" applyProtection="1">
      <alignment/>
      <protection locked="0"/>
    </xf>
    <xf numFmtId="168" fontId="17" fillId="0" borderId="30" xfId="40" applyNumberFormat="1" applyFont="1" applyFill="1" applyBorder="1" applyAlignment="1" applyProtection="1">
      <alignment/>
      <protection locked="0"/>
    </xf>
    <xf numFmtId="0" fontId="17" fillId="0" borderId="13" xfId="60" applyFont="1" applyFill="1" applyBorder="1" applyProtection="1">
      <alignment/>
      <protection locked="0"/>
    </xf>
    <xf numFmtId="0" fontId="17" fillId="0" borderId="11" xfId="60" applyFont="1" applyFill="1" applyBorder="1" applyProtection="1">
      <alignment/>
      <protection locked="0"/>
    </xf>
    <xf numFmtId="0" fontId="17" fillId="0" borderId="15" xfId="60" applyFont="1" applyFill="1" applyBorder="1" applyProtection="1">
      <alignment/>
      <protection locked="0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center" vertical="center" wrapText="1"/>
      <protection/>
    </xf>
    <xf numFmtId="166" fontId="7" fillId="0" borderId="23" xfId="0" applyNumberFormat="1" applyFont="1" applyFill="1" applyBorder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left" vertical="center" wrapText="1"/>
      <protection/>
    </xf>
    <xf numFmtId="166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0" fillId="0" borderId="42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6" fontId="15" fillId="0" borderId="28" xfId="0" applyNumberFormat="1" applyFont="1" applyFill="1" applyBorder="1" applyAlignment="1" applyProtection="1">
      <alignment vertical="center" wrapText="1"/>
      <protection/>
    </xf>
    <xf numFmtId="166" fontId="15" fillId="0" borderId="46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6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166" fontId="14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166" fontId="7" fillId="0" borderId="49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4" fillId="0" borderId="50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0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7" fillId="0" borderId="18" xfId="0" applyFont="1" applyFill="1" applyBorder="1" applyAlignment="1" applyProtection="1">
      <alignment horizontal="center" vertical="center"/>
      <protection/>
    </xf>
    <xf numFmtId="166" fontId="15" fillId="0" borderId="34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6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6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6" fontId="15" fillId="0" borderId="23" xfId="0" applyNumberFormat="1" applyFont="1" applyFill="1" applyBorder="1" applyAlignment="1" applyProtection="1">
      <alignment vertical="center"/>
      <protection/>
    </xf>
    <xf numFmtId="166" fontId="15" fillId="0" borderId="26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6" fontId="15" fillId="0" borderId="44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55" xfId="0" applyNumberFormat="1" applyFont="1" applyFill="1" applyBorder="1" applyAlignment="1" applyProtection="1">
      <alignment horizontal="center" vertical="center"/>
      <protection/>
    </xf>
    <xf numFmtId="166" fontId="7" fillId="0" borderId="36" xfId="0" applyNumberFormat="1" applyFont="1" applyFill="1" applyBorder="1" applyAlignment="1" applyProtection="1">
      <alignment horizontal="center" vertical="center" wrapText="1"/>
      <protection/>
    </xf>
    <xf numFmtId="166" fontId="15" fillId="0" borderId="51" xfId="0" applyNumberFormat="1" applyFont="1" applyFill="1" applyBorder="1" applyAlignment="1" applyProtection="1">
      <alignment horizontal="center" vertical="center" wrapText="1"/>
      <protection/>
    </xf>
    <xf numFmtId="166" fontId="15" fillId="0" borderId="31" xfId="0" applyNumberFormat="1" applyFont="1" applyFill="1" applyBorder="1" applyAlignment="1" applyProtection="1">
      <alignment horizontal="center" vertical="center" wrapText="1"/>
      <protection/>
    </xf>
    <xf numFmtId="166" fontId="15" fillId="0" borderId="56" xfId="0" applyNumberFormat="1" applyFont="1" applyFill="1" applyBorder="1" applyAlignment="1" applyProtection="1">
      <alignment horizontal="center" vertical="center" wrapText="1"/>
      <protection/>
    </xf>
    <xf numFmtId="166" fontId="15" fillId="0" borderId="26" xfId="0" applyNumberFormat="1" applyFont="1" applyFill="1" applyBorder="1" applyAlignment="1" applyProtection="1">
      <alignment horizontal="center" vertical="center" wrapText="1"/>
      <protection/>
    </xf>
    <xf numFmtId="166" fontId="15" fillId="0" borderId="57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7" xfId="0" applyNumberFormat="1" applyFont="1" applyFill="1" applyBorder="1" applyAlignment="1" applyProtection="1">
      <alignment horizontal="center" vertical="center" wrapText="1"/>
      <protection/>
    </xf>
    <xf numFmtId="166" fontId="17" fillId="0" borderId="32" xfId="0" applyNumberFormat="1" applyFont="1" applyFill="1" applyBorder="1" applyAlignment="1" applyProtection="1">
      <alignment vertical="center" wrapText="1"/>
      <protection/>
    </xf>
    <xf numFmtId="166" fontId="15" fillId="0" borderId="19" xfId="0" applyNumberFormat="1" applyFont="1" applyFill="1" applyBorder="1" applyAlignment="1" applyProtection="1">
      <alignment horizontal="center" vertical="center" wrapText="1"/>
      <protection/>
    </xf>
    <xf numFmtId="166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6" xfId="0" applyNumberFormat="1" applyFont="1" applyFill="1" applyBorder="1" applyAlignment="1" applyProtection="1">
      <alignment horizontal="center" vertical="center" wrapText="1"/>
      <protection/>
    </xf>
    <xf numFmtId="166" fontId="17" fillId="0" borderId="57" xfId="0" applyNumberFormat="1" applyFont="1" applyFill="1" applyBorder="1" applyAlignment="1" applyProtection="1">
      <alignment vertical="center" wrapText="1"/>
      <protection/>
    </xf>
    <xf numFmtId="0" fontId="17" fillId="0" borderId="11" xfId="61" applyFont="1" applyFill="1" applyBorder="1" applyAlignment="1" applyProtection="1">
      <alignment horizontal="left" vertical="center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indent="1"/>
      <protection/>
    </xf>
    <xf numFmtId="0" fontId="7" fillId="0" borderId="23" xfId="61" applyFont="1" applyFill="1" applyBorder="1" applyAlignment="1" applyProtection="1">
      <alignment horizontal="left" indent="1"/>
      <protection/>
    </xf>
    <xf numFmtId="166" fontId="17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6" fontId="15" fillId="0" borderId="37" xfId="60" applyNumberFormat="1" applyFont="1" applyFill="1" applyBorder="1" applyAlignment="1" applyProtection="1">
      <alignment horizontal="right" vertical="center" wrapText="1" indent="1"/>
      <protection/>
    </xf>
    <xf numFmtId="166" fontId="15" fillId="0" borderId="26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60" applyNumberFormat="1" applyFont="1" applyFill="1" applyBorder="1" applyAlignment="1" applyProtection="1">
      <alignment horizontal="right" vertical="center" wrapText="1" indent="1"/>
      <protection/>
    </xf>
    <xf numFmtId="166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3" xfId="0" applyFont="1" applyFill="1" applyBorder="1" applyAlignment="1" applyProtection="1">
      <alignment horizontal="right" vertical="center"/>
      <protection/>
    </xf>
    <xf numFmtId="166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5" fillId="0" borderId="31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23" xfId="0" applyNumberFormat="1" applyFont="1" applyFill="1" applyBorder="1" applyAlignment="1" applyProtection="1">
      <alignment horizontal="center" vertical="center" wrapText="1"/>
      <protection/>
    </xf>
    <xf numFmtId="166" fontId="15" fillId="0" borderId="26" xfId="0" applyNumberFormat="1" applyFont="1" applyFill="1" applyBorder="1" applyAlignment="1" applyProtection="1">
      <alignment horizontal="center" vertical="center" wrapText="1"/>
      <protection/>
    </xf>
    <xf numFmtId="166" fontId="15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33" xfId="0" applyNumberForma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2" xfId="0" applyNumberForma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59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57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4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8" fontId="17" fillId="0" borderId="60" xfId="40" applyNumberFormat="1" applyFont="1" applyFill="1" applyBorder="1" applyAlignment="1" applyProtection="1">
      <alignment/>
      <protection locked="0"/>
    </xf>
    <xf numFmtId="168" fontId="17" fillId="0" borderId="53" xfId="40" applyNumberFormat="1" applyFont="1" applyFill="1" applyBorder="1" applyAlignment="1" applyProtection="1">
      <alignment/>
      <protection locked="0"/>
    </xf>
    <xf numFmtId="168" fontId="17" fillId="0" borderId="49" xfId="40" applyNumberFormat="1" applyFont="1" applyFill="1" applyBorder="1" applyAlignment="1" applyProtection="1">
      <alignment/>
      <protection locked="0"/>
    </xf>
    <xf numFmtId="0" fontId="17" fillId="0" borderId="12" xfId="60" applyFont="1" applyFill="1" applyBorder="1" applyProtection="1">
      <alignment/>
      <protection/>
    </xf>
    <xf numFmtId="166" fontId="7" fillId="0" borderId="49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4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6" fontId="15" fillId="0" borderId="44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45" xfId="0" applyNumberFormat="1" applyFont="1" applyFill="1" applyBorder="1" applyAlignment="1" applyProtection="1">
      <alignment horizontal="right" vertical="center"/>
      <protection/>
    </xf>
    <xf numFmtId="49" fontId="7" fillId="0" borderId="6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2" xfId="60" applyFont="1" applyFill="1" applyBorder="1" applyAlignment="1" applyProtection="1">
      <alignment horizontal="center" vertical="center" wrapText="1"/>
      <protection/>
    </xf>
    <xf numFmtId="0" fontId="6" fillId="0" borderId="62" xfId="60" applyFont="1" applyFill="1" applyBorder="1" applyAlignment="1" applyProtection="1">
      <alignment vertical="center" wrapText="1"/>
      <protection/>
    </xf>
    <xf numFmtId="166" fontId="6" fillId="0" borderId="62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60" applyFont="1" applyFill="1" applyBorder="1" applyAlignment="1" applyProtection="1">
      <alignment horizontal="right" vertical="center" wrapText="1" indent="1"/>
      <protection locked="0"/>
    </xf>
    <xf numFmtId="166" fontId="17" fillId="0" borderId="62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2" fillId="0" borderId="0" xfId="60" applyFont="1" applyFill="1">
      <alignment/>
      <protection/>
    </xf>
    <xf numFmtId="0" fontId="2" fillId="0" borderId="0" xfId="60" applyFont="1" applyFill="1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5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57" xfId="0" applyNumberFormat="1" applyFill="1" applyBorder="1" applyAlignment="1" applyProtection="1">
      <alignment horizontal="left" vertical="center" wrapText="1" indent="1"/>
      <protection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5" xfId="60" applyNumberFormat="1" applyFont="1" applyFill="1" applyBorder="1" applyAlignment="1" applyProtection="1">
      <alignment horizontal="right" vertical="center" wrapText="1" indent="1"/>
      <protection/>
    </xf>
    <xf numFmtId="166" fontId="15" fillId="0" borderId="23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7" fillId="0" borderId="50" xfId="60" applyFont="1" applyFill="1" applyBorder="1" applyAlignment="1" applyProtection="1">
      <alignment horizontal="center" vertical="center" wrapText="1"/>
      <protection/>
    </xf>
    <xf numFmtId="166" fontId="20" fillId="0" borderId="6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5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15" fillId="0" borderId="24" xfId="60" applyFont="1" applyFill="1" applyBorder="1" applyAlignment="1" applyProtection="1">
      <alignment horizontal="center" vertical="center" wrapText="1"/>
      <protection/>
    </xf>
    <xf numFmtId="0" fontId="15" fillId="0" borderId="25" xfId="60" applyFont="1" applyFill="1" applyBorder="1" applyAlignment="1" applyProtection="1">
      <alignment horizontal="center" vertical="center" wrapText="1"/>
      <protection/>
    </xf>
    <xf numFmtId="0" fontId="17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7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166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60" applyFont="1" applyFill="1" applyProtection="1">
      <alignment/>
      <protection/>
    </xf>
    <xf numFmtId="0" fontId="6" fillId="0" borderId="0" xfId="60" applyFont="1" applyFill="1" applyProtection="1">
      <alignment/>
      <protection/>
    </xf>
    <xf numFmtId="0" fontId="2" fillId="0" borderId="0" xfId="60" applyFill="1" applyBorder="1" applyProtection="1">
      <alignment/>
      <protection/>
    </xf>
    <xf numFmtId="166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60" applyNumberFormat="1" applyFont="1" applyFill="1" applyBorder="1" applyAlignment="1" applyProtection="1">
      <alignment horizontal="center" vertical="center" wrapText="1"/>
      <protection/>
    </xf>
    <xf numFmtId="49" fontId="17" fillId="0" borderId="17" xfId="60" applyNumberFormat="1" applyFont="1" applyFill="1" applyBorder="1" applyAlignment="1" applyProtection="1">
      <alignment horizontal="center" vertical="center" wrapText="1"/>
      <protection/>
    </xf>
    <xf numFmtId="49" fontId="17" fillId="0" borderId="19" xfId="60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7" fillId="0" borderId="20" xfId="60" applyNumberFormat="1" applyFont="1" applyFill="1" applyBorder="1" applyAlignment="1" applyProtection="1">
      <alignment horizontal="center" vertical="center" wrapText="1"/>
      <protection/>
    </xf>
    <xf numFmtId="49" fontId="17" fillId="0" borderId="16" xfId="60" applyNumberFormat="1" applyFont="1" applyFill="1" applyBorder="1" applyAlignment="1" applyProtection="1">
      <alignment horizontal="center" vertical="center" wrapText="1"/>
      <protection/>
    </xf>
    <xf numFmtId="49" fontId="17" fillId="0" borderId="21" xfId="6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166" fontId="15" fillId="0" borderId="44" xfId="60" applyNumberFormat="1" applyFont="1" applyFill="1" applyBorder="1" applyAlignment="1" applyProtection="1">
      <alignment horizontal="right" vertical="center" wrapText="1" indent="1"/>
      <protection/>
    </xf>
    <xf numFmtId="0" fontId="15" fillId="0" borderId="44" xfId="60" applyFont="1" applyFill="1" applyBorder="1" applyAlignment="1" applyProtection="1">
      <alignment horizontal="center" vertical="center" wrapText="1"/>
      <protection/>
    </xf>
    <xf numFmtId="0" fontId="7" fillId="0" borderId="66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6" fontId="17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166" fontId="15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60" applyFont="1" applyFill="1" applyBorder="1" applyAlignment="1">
      <alignment horizontal="center" vertical="center"/>
      <protection/>
    </xf>
    <xf numFmtId="0" fontId="4" fillId="0" borderId="0" xfId="60" applyFont="1" applyFill="1">
      <alignment/>
      <protection/>
    </xf>
    <xf numFmtId="0" fontId="15" fillId="0" borderId="22" xfId="60" applyFont="1" applyFill="1" applyBorder="1" applyAlignment="1" applyProtection="1">
      <alignment horizontal="center" vertical="center"/>
      <protection/>
    </xf>
    <xf numFmtId="166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right"/>
      <protection/>
    </xf>
    <xf numFmtId="166" fontId="4" fillId="0" borderId="0" xfId="0" applyNumberFormat="1" applyFont="1" applyFill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horizontal="center" vertical="center"/>
      <protection/>
    </xf>
    <xf numFmtId="166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174" fontId="3" fillId="0" borderId="15" xfId="60" applyNumberFormat="1" applyFont="1" applyFill="1" applyBorder="1" applyAlignment="1">
      <alignment horizontal="center" vertical="center"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5" fillId="0" borderId="27" xfId="60" applyFont="1" applyFill="1" applyBorder="1" applyAlignment="1" applyProtection="1">
      <alignment horizontal="left" vertical="center" wrapText="1" indent="1"/>
      <protection/>
    </xf>
    <xf numFmtId="0" fontId="15" fillId="0" borderId="28" xfId="60" applyFont="1" applyFill="1" applyBorder="1" applyAlignment="1" applyProtection="1">
      <alignment vertical="center" wrapText="1"/>
      <protection/>
    </xf>
    <xf numFmtId="166" fontId="15" fillId="0" borderId="46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35" xfId="60" applyFont="1" applyFill="1" applyBorder="1" applyAlignment="1" applyProtection="1">
      <alignment horizontal="left" vertical="center" wrapText="1" indent="7"/>
      <protection/>
    </xf>
    <xf numFmtId="166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60" applyFont="1" applyFill="1" applyBorder="1" applyAlignment="1" applyProtection="1">
      <alignment horizontal="left" vertical="center" wrapText="1"/>
      <protection/>
    </xf>
    <xf numFmtId="166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5" fillId="0" borderId="22" xfId="60" applyNumberFormat="1" applyFont="1" applyFill="1" applyBorder="1" applyAlignment="1" applyProtection="1">
      <alignment horizontal="center" vertical="center" wrapText="1"/>
      <protection/>
    </xf>
    <xf numFmtId="166" fontId="15" fillId="0" borderId="67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61" xfId="60" applyNumberFormat="1" applyFont="1" applyFill="1" applyBorder="1" applyAlignment="1" applyProtection="1">
      <alignment horizontal="right" vertical="center" wrapText="1" indent="1"/>
      <protection/>
    </xf>
    <xf numFmtId="166" fontId="21" fillId="0" borderId="44" xfId="0" applyNumberFormat="1" applyFont="1" applyBorder="1" applyAlignment="1" applyProtection="1">
      <alignment horizontal="right" vertical="center" wrapText="1" indent="1"/>
      <protection/>
    </xf>
    <xf numFmtId="166" fontId="21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9" fillId="0" borderId="44" xfId="0" applyNumberFormat="1" applyFont="1" applyBorder="1" applyAlignment="1" applyProtection="1" quotePrefix="1">
      <alignment horizontal="right" vertical="center" wrapText="1" indent="1"/>
      <protection/>
    </xf>
    <xf numFmtId="166" fontId="17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8" xfId="60" applyNumberFormat="1" applyFont="1" applyFill="1" applyBorder="1" applyAlignment="1" applyProtection="1">
      <alignment horizontal="right" vertical="center" wrapText="1" indent="1"/>
      <protection/>
    </xf>
    <xf numFmtId="166" fontId="21" fillId="0" borderId="23" xfId="0" applyNumberFormat="1" applyFont="1" applyBorder="1" applyAlignment="1" applyProtection="1">
      <alignment horizontal="right" vertical="center" wrapText="1" indent="1"/>
      <protection/>
    </xf>
    <xf numFmtId="166" fontId="21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9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7" xfId="60" applyFont="1" applyFill="1" applyBorder="1" applyAlignment="1" applyProtection="1">
      <alignment horizontal="center" vertical="center" wrapText="1"/>
      <protection/>
    </xf>
    <xf numFmtId="0" fontId="15" fillId="0" borderId="28" xfId="60" applyFont="1" applyFill="1" applyBorder="1" applyAlignment="1" applyProtection="1">
      <alignment vertical="center" wrapText="1"/>
      <protection/>
    </xf>
    <xf numFmtId="166" fontId="15" fillId="0" borderId="28" xfId="60" applyNumberFormat="1" applyFont="1" applyFill="1" applyBorder="1" applyAlignment="1" applyProtection="1">
      <alignment horizontal="right" vertical="center" wrapText="1" indent="1"/>
      <protection/>
    </xf>
    <xf numFmtId="166" fontId="15" fillId="0" borderId="61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62" xfId="60" applyFont="1" applyFill="1" applyBorder="1" applyAlignment="1" applyProtection="1">
      <alignment horizontal="right" vertical="center" wrapText="1" indent="1"/>
      <protection/>
    </xf>
    <xf numFmtId="166" fontId="17" fillId="0" borderId="62" xfId="6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0" applyFont="1" applyFill="1" applyBorder="1" applyProtection="1">
      <alignment/>
      <protection/>
    </xf>
    <xf numFmtId="166" fontId="15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6" fontId="19" fillId="0" borderId="44" xfId="0" applyNumberFormat="1" applyFont="1" applyBorder="1" applyAlignment="1" applyProtection="1" quotePrefix="1">
      <alignment horizontal="right" vertical="center" wrapText="1" indent="1"/>
      <protection locked="0"/>
    </xf>
    <xf numFmtId="0" fontId="20" fillId="0" borderId="15" xfId="0" applyFont="1" applyBorder="1" applyAlignment="1" applyProtection="1">
      <alignment horizontal="left" indent="1"/>
      <protection/>
    </xf>
    <xf numFmtId="0" fontId="15" fillId="0" borderId="23" xfId="60" applyFont="1" applyFill="1" applyBorder="1" applyAlignment="1" applyProtection="1">
      <alignment horizontal="center" vertical="center"/>
      <protection/>
    </xf>
    <xf numFmtId="0" fontId="15" fillId="0" borderId="26" xfId="60" applyFont="1" applyFill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/>
      <protection/>
    </xf>
    <xf numFmtId="166" fontId="15" fillId="0" borderId="46" xfId="0" applyNumberFormat="1" applyFont="1" applyFill="1" applyBorder="1" applyAlignment="1" applyProtection="1">
      <alignment horizontal="center" vertical="center" wrapText="1"/>
      <protection/>
    </xf>
    <xf numFmtId="166" fontId="15" fillId="0" borderId="46" xfId="0" applyNumberFormat="1" applyFont="1" applyFill="1" applyBorder="1" applyAlignment="1" applyProtection="1">
      <alignment horizontal="center" vertical="center" wrapText="1"/>
      <protection/>
    </xf>
    <xf numFmtId="168" fontId="29" fillId="0" borderId="12" xfId="40" applyNumberFormat="1" applyFont="1" applyFill="1" applyBorder="1" applyAlignment="1" applyProtection="1">
      <alignment/>
      <protection locked="0"/>
    </xf>
    <xf numFmtId="168" fontId="29" fillId="0" borderId="11" xfId="40" applyNumberFormat="1" applyFont="1" applyFill="1" applyBorder="1" applyAlignment="1" applyProtection="1">
      <alignment/>
      <protection locked="0"/>
    </xf>
    <xf numFmtId="168" fontId="29" fillId="0" borderId="15" xfId="40" applyNumberFormat="1" applyFont="1" applyFill="1" applyBorder="1" applyAlignment="1" applyProtection="1">
      <alignment/>
      <protection locked="0"/>
    </xf>
    <xf numFmtId="168" fontId="30" fillId="0" borderId="23" xfId="60" applyNumberFormat="1" applyFont="1" applyFill="1" applyBorder="1">
      <alignment/>
      <protection/>
    </xf>
    <xf numFmtId="49" fontId="29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29" fillId="0" borderId="31" xfId="0" applyNumberFormat="1" applyFont="1" applyFill="1" applyBorder="1" applyAlignment="1" applyProtection="1">
      <alignment vertical="center" wrapText="1"/>
      <protection/>
    </xf>
    <xf numFmtId="166" fontId="29" fillId="0" borderId="22" xfId="0" applyNumberFormat="1" applyFont="1" applyFill="1" applyBorder="1" applyAlignment="1" applyProtection="1">
      <alignment vertical="center" wrapText="1"/>
      <protection/>
    </xf>
    <xf numFmtId="166" fontId="29" fillId="0" borderId="23" xfId="0" applyNumberFormat="1" applyFont="1" applyFill="1" applyBorder="1" applyAlignment="1" applyProtection="1">
      <alignment vertical="center" wrapText="1"/>
      <protection/>
    </xf>
    <xf numFmtId="166" fontId="29" fillId="0" borderId="26" xfId="0" applyNumberFormat="1" applyFont="1" applyFill="1" applyBorder="1" applyAlignment="1" applyProtection="1">
      <alignment vertical="center" wrapText="1"/>
      <protection/>
    </xf>
    <xf numFmtId="49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0" borderId="32" xfId="0" applyNumberFormat="1" applyFont="1" applyFill="1" applyBorder="1" applyAlignment="1" applyProtection="1">
      <alignment vertical="center" wrapText="1"/>
      <protection locked="0"/>
    </xf>
    <xf numFmtId="166" fontId="29" fillId="0" borderId="17" xfId="0" applyNumberFormat="1" applyFont="1" applyFill="1" applyBorder="1" applyAlignment="1" applyProtection="1">
      <alignment vertical="center" wrapText="1"/>
      <protection locked="0"/>
    </xf>
    <xf numFmtId="166" fontId="29" fillId="0" borderId="11" xfId="0" applyNumberFormat="1" applyFont="1" applyFill="1" applyBorder="1" applyAlignment="1" applyProtection="1">
      <alignment vertical="center" wrapText="1"/>
      <protection locked="0"/>
    </xf>
    <xf numFmtId="166" fontId="29" fillId="0" borderId="29" xfId="0" applyNumberFormat="1" applyFont="1" applyFill="1" applyBorder="1" applyAlignment="1" applyProtection="1">
      <alignment vertical="center" wrapText="1"/>
      <protection locked="0"/>
    </xf>
    <xf numFmtId="49" fontId="29" fillId="0" borderId="63" xfId="0" applyNumberFormat="1" applyFont="1" applyFill="1" applyBorder="1" applyAlignment="1" applyProtection="1">
      <alignment horizontal="center" vertical="center" wrapText="1"/>
      <protection locked="0"/>
    </xf>
    <xf numFmtId="166" fontId="29" fillId="0" borderId="57" xfId="0" applyNumberFormat="1" applyFont="1" applyFill="1" applyBorder="1" applyAlignment="1" applyProtection="1">
      <alignment vertical="center" wrapText="1"/>
      <protection locked="0"/>
    </xf>
    <xf numFmtId="166" fontId="29" fillId="0" borderId="16" xfId="0" applyNumberFormat="1" applyFont="1" applyFill="1" applyBorder="1" applyAlignment="1" applyProtection="1">
      <alignment vertical="center" wrapText="1"/>
      <protection locked="0"/>
    </xf>
    <xf numFmtId="166" fontId="29" fillId="0" borderId="10" xfId="0" applyNumberFormat="1" applyFont="1" applyFill="1" applyBorder="1" applyAlignment="1" applyProtection="1">
      <alignment vertical="center" wrapText="1"/>
      <protection locked="0"/>
    </xf>
    <xf numFmtId="166" fontId="29" fillId="0" borderId="38" xfId="0" applyNumberFormat="1" applyFont="1" applyFill="1" applyBorder="1" applyAlignment="1" applyProtection="1">
      <alignment vertical="center" wrapText="1"/>
      <protection locked="0"/>
    </xf>
    <xf numFmtId="166" fontId="29" fillId="33" borderId="56" xfId="0" applyNumberFormat="1" applyFont="1" applyFill="1" applyBorder="1" applyAlignment="1" applyProtection="1">
      <alignment horizontal="left" vertical="center" wrapText="1" indent="2"/>
      <protection/>
    </xf>
    <xf numFmtId="166" fontId="31" fillId="0" borderId="10" xfId="61" applyNumberFormat="1" applyFont="1" applyFill="1" applyBorder="1" applyAlignment="1" applyProtection="1">
      <alignment vertical="center"/>
      <protection locked="0"/>
    </xf>
    <xf numFmtId="166" fontId="31" fillId="0" borderId="11" xfId="61" applyNumberFormat="1" applyFont="1" applyFill="1" applyBorder="1" applyAlignment="1" applyProtection="1">
      <alignment vertical="center"/>
      <protection locked="0"/>
    </xf>
    <xf numFmtId="166" fontId="31" fillId="0" borderId="12" xfId="61" applyNumberFormat="1" applyFont="1" applyFill="1" applyBorder="1" applyAlignment="1" applyProtection="1">
      <alignment vertical="center"/>
      <protection locked="0"/>
    </xf>
    <xf numFmtId="166" fontId="32" fillId="0" borderId="23" xfId="61" applyNumberFormat="1" applyFont="1" applyFill="1" applyBorder="1" applyAlignment="1" applyProtection="1">
      <alignment vertical="center"/>
      <protection/>
    </xf>
    <xf numFmtId="166" fontId="32" fillId="0" borderId="23" xfId="61" applyNumberFormat="1" applyFont="1" applyFill="1" applyBorder="1" applyProtection="1">
      <alignment/>
      <protection/>
    </xf>
    <xf numFmtId="3" fontId="29" fillId="0" borderId="45" xfId="0" applyNumberFormat="1" applyFont="1" applyBorder="1" applyAlignment="1" applyProtection="1">
      <alignment horizontal="right" vertical="center" indent="1"/>
      <protection locked="0"/>
    </xf>
    <xf numFmtId="3" fontId="29" fillId="0" borderId="29" xfId="0" applyNumberFormat="1" applyFont="1" applyBorder="1" applyAlignment="1" applyProtection="1">
      <alignment horizontal="right" vertical="center" indent="1"/>
      <protection locked="0"/>
    </xf>
    <xf numFmtId="3" fontId="29" fillId="0" borderId="29" xfId="0" applyNumberFormat="1" applyFont="1" applyFill="1" applyBorder="1" applyAlignment="1" applyProtection="1">
      <alignment horizontal="right" vertical="center" indent="1"/>
      <protection locked="0"/>
    </xf>
    <xf numFmtId="3" fontId="29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0" fillId="0" borderId="26" xfId="0" applyNumberFormat="1" applyFont="1" applyFill="1" applyBorder="1" applyAlignment="1" applyProtection="1">
      <alignment horizontal="right" vertical="center" indent="1"/>
      <protection/>
    </xf>
    <xf numFmtId="0" fontId="16" fillId="0" borderId="37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166" fontId="17" fillId="0" borderId="30" xfId="6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0" applyFont="1" applyFill="1" applyAlignment="1" applyProtection="1">
      <alignment vertical="center"/>
      <protection/>
    </xf>
    <xf numFmtId="166" fontId="17" fillId="0" borderId="30" xfId="60" applyNumberFormat="1" applyFont="1" applyFill="1" applyBorder="1" applyAlignment="1" applyProtection="1">
      <alignment horizontal="right" vertical="center" wrapText="1"/>
      <protection locked="0"/>
    </xf>
    <xf numFmtId="0" fontId="20" fillId="0" borderId="12" xfId="0" applyFont="1" applyBorder="1" applyAlignment="1">
      <alignment horizontal="left" wrapText="1" indent="1"/>
    </xf>
    <xf numFmtId="0" fontId="20" fillId="0" borderId="10" xfId="0" applyFont="1" applyBorder="1" applyAlignment="1">
      <alignment horizontal="left" vertical="center" wrapText="1" indent="1"/>
    </xf>
    <xf numFmtId="0" fontId="3" fillId="0" borderId="22" xfId="60" applyFont="1" applyFill="1" applyBorder="1" applyAlignment="1" applyProtection="1">
      <alignment horizontal="center" vertical="center" wrapText="1"/>
      <protection/>
    </xf>
    <xf numFmtId="0" fontId="3" fillId="0" borderId="23" xfId="60" applyFont="1" applyFill="1" applyBorder="1" applyAlignment="1" applyProtection="1">
      <alignment horizontal="center" vertical="center" wrapText="1"/>
      <protection/>
    </xf>
    <xf numFmtId="0" fontId="3" fillId="0" borderId="26" xfId="60" applyFont="1" applyFill="1" applyBorder="1" applyAlignment="1" applyProtection="1">
      <alignment horizontal="center" vertical="center" wrapText="1"/>
      <protection/>
    </xf>
    <xf numFmtId="0" fontId="7" fillId="0" borderId="24" xfId="60" applyFont="1" applyFill="1" applyBorder="1" applyAlignment="1" applyProtection="1">
      <alignment horizontal="center" vertical="center" wrapText="1"/>
      <protection/>
    </xf>
    <xf numFmtId="0" fontId="7" fillId="0" borderId="25" xfId="60" applyFont="1" applyFill="1" applyBorder="1" applyAlignment="1" applyProtection="1">
      <alignment horizontal="center" vertical="center" wrapText="1"/>
      <protection/>
    </xf>
    <xf numFmtId="0" fontId="7" fillId="0" borderId="37" xfId="60" applyFont="1" applyFill="1" applyBorder="1" applyAlignment="1" applyProtection="1">
      <alignment horizontal="center" vertical="center" wrapText="1"/>
      <protection/>
    </xf>
    <xf numFmtId="49" fontId="17" fillId="0" borderId="19" xfId="60" applyNumberFormat="1" applyFont="1" applyFill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left" wrapText="1" indent="1"/>
      <protection/>
    </xf>
    <xf numFmtId="49" fontId="17" fillId="0" borderId="22" xfId="60" applyNumberFormat="1" applyFont="1" applyFill="1" applyBorder="1" applyAlignment="1" applyProtection="1">
      <alignment horizontal="left" vertical="center" wrapText="1" indent="1"/>
      <protection/>
    </xf>
    <xf numFmtId="0" fontId="20" fillId="0" borderId="23" xfId="0" applyFont="1" applyBorder="1" applyAlignment="1" applyProtection="1">
      <alignment horizontal="left" vertical="center" wrapText="1" indent="1"/>
      <protection/>
    </xf>
    <xf numFmtId="166" fontId="17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5" xfId="0" applyFont="1" applyBorder="1" applyAlignment="1" applyProtection="1">
      <alignment horizontal="left" vertical="center" wrapText="1" indent="1"/>
      <protection/>
    </xf>
    <xf numFmtId="166" fontId="17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60" applyFont="1" applyFill="1" applyBorder="1" applyAlignment="1" applyProtection="1">
      <alignment horizontal="left" vertical="center" wrapText="1" indent="1"/>
      <protection/>
    </xf>
    <xf numFmtId="166" fontId="17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0" fontId="17" fillId="0" borderId="0" xfId="60" applyFont="1" applyFill="1" applyProtection="1">
      <alignment/>
      <protection/>
    </xf>
    <xf numFmtId="0" fontId="16" fillId="0" borderId="43" xfId="0" applyFont="1" applyFill="1" applyBorder="1" applyAlignment="1" applyProtection="1">
      <alignment horizontal="right" vertical="center"/>
      <protection locked="0"/>
    </xf>
    <xf numFmtId="0" fontId="16" fillId="0" borderId="43" xfId="0" applyFont="1" applyFill="1" applyBorder="1" applyAlignment="1" applyProtection="1">
      <alignment horizontal="right"/>
      <protection/>
    </xf>
    <xf numFmtId="0" fontId="16" fillId="0" borderId="43" xfId="0" applyFont="1" applyFill="1" applyBorder="1" applyAlignment="1" applyProtection="1">
      <alignment horizontal="right" vertical="center"/>
      <protection/>
    </xf>
    <xf numFmtId="166" fontId="16" fillId="0" borderId="0" xfId="0" applyNumberFormat="1" applyFont="1" applyFill="1" applyAlignment="1" applyProtection="1">
      <alignment horizontal="right" vertical="center"/>
      <protection locked="0"/>
    </xf>
    <xf numFmtId="166" fontId="16" fillId="0" borderId="0" xfId="0" applyNumberFormat="1" applyFont="1" applyFill="1" applyAlignment="1" applyProtection="1">
      <alignment horizontal="right" vertical="center"/>
      <protection/>
    </xf>
    <xf numFmtId="0" fontId="100" fillId="0" borderId="0" xfId="0" applyFont="1" applyAlignment="1">
      <alignment/>
    </xf>
    <xf numFmtId="0" fontId="100" fillId="0" borderId="0" xfId="0" applyFont="1" applyAlignment="1">
      <alignment horizontal="justify" vertical="top" wrapText="1"/>
    </xf>
    <xf numFmtId="0" fontId="101" fillId="35" borderId="0" xfId="0" applyFont="1" applyFill="1" applyAlignment="1">
      <alignment horizontal="center" vertical="center"/>
    </xf>
    <xf numFmtId="0" fontId="101" fillId="35" borderId="0" xfId="0" applyFont="1" applyFill="1" applyAlignment="1">
      <alignment horizontal="center" vertical="top" wrapText="1"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right" vertical="top"/>
      <protection locked="0"/>
    </xf>
    <xf numFmtId="16" fontId="33" fillId="0" borderId="0" xfId="0" applyNumberFormat="1" applyFont="1" applyAlignment="1">
      <alignment/>
    </xf>
    <xf numFmtId="14" fontId="33" fillId="0" borderId="0" xfId="0" applyNumberFormat="1" applyFont="1" applyAlignment="1">
      <alignment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166" fontId="14" fillId="0" borderId="0" xfId="0" applyNumberFormat="1" applyFont="1" applyFill="1" applyAlignment="1" applyProtection="1">
      <alignment vertical="center" wrapText="1"/>
      <protection locked="0"/>
    </xf>
    <xf numFmtId="0" fontId="7" fillId="0" borderId="65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 quotePrefix="1">
      <alignment horizontal="right" vertical="center" indent="1"/>
      <protection locked="0"/>
    </xf>
    <xf numFmtId="0" fontId="7" fillId="0" borderId="66" xfId="0" applyFont="1" applyFill="1" applyBorder="1" applyAlignment="1" applyProtection="1">
      <alignment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49" fontId="7" fillId="0" borderId="61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37" xfId="0" applyFont="1" applyFill="1" applyBorder="1" applyAlignment="1" applyProtection="1">
      <alignment horizontal="right" vertical="center" wrapText="1" indent="1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locked="0"/>
    </xf>
    <xf numFmtId="166" fontId="7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right" vertical="center" wrapText="1" indent="1"/>
      <protection locked="0"/>
    </xf>
    <xf numFmtId="166" fontId="102" fillId="0" borderId="0" xfId="0" applyNumberFormat="1" applyFont="1" applyFill="1" applyAlignment="1" applyProtection="1">
      <alignment horizontal="right" vertical="center" wrapText="1" indent="1"/>
      <protection/>
    </xf>
    <xf numFmtId="49" fontId="7" fillId="0" borderId="45" xfId="0" applyNumberFormat="1" applyFont="1" applyFill="1" applyBorder="1" applyAlignment="1" applyProtection="1">
      <alignment horizontal="right" vertical="center"/>
      <protection locked="0"/>
    </xf>
    <xf numFmtId="0" fontId="7" fillId="0" borderId="66" xfId="0" applyFont="1" applyFill="1" applyBorder="1" applyAlignment="1" applyProtection="1">
      <alignment horizontal="center" vertical="center" wrapText="1"/>
      <protection locked="0"/>
    </xf>
    <xf numFmtId="49" fontId="7" fillId="0" borderId="61" xfId="0" applyNumberFormat="1" applyFont="1" applyFill="1" applyBorder="1" applyAlignment="1" applyProtection="1">
      <alignment horizontal="right" vertical="center"/>
      <protection locked="0"/>
    </xf>
    <xf numFmtId="0" fontId="7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102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2" fillId="0" borderId="0" xfId="60" applyFont="1" applyFill="1" applyProtection="1">
      <alignment/>
      <protection locked="0"/>
    </xf>
    <xf numFmtId="0" fontId="6" fillId="0" borderId="0" xfId="60" applyFont="1" applyFill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7" fillId="0" borderId="22" xfId="60" applyFont="1" applyFill="1" applyBorder="1" applyAlignment="1" applyProtection="1">
      <alignment horizontal="center" vertical="center" wrapText="1"/>
      <protection locked="0"/>
    </xf>
    <xf numFmtId="0" fontId="7" fillId="0" borderId="23" xfId="60" applyFont="1" applyFill="1" applyBorder="1" applyAlignment="1" applyProtection="1">
      <alignment horizontal="center" vertical="center" wrapText="1"/>
      <protection locked="0"/>
    </xf>
    <xf numFmtId="0" fontId="7" fillId="0" borderId="26" xfId="60" applyFont="1" applyFill="1" applyBorder="1" applyAlignment="1" applyProtection="1">
      <alignment horizontal="center" vertical="center" wrapText="1"/>
      <protection locked="0"/>
    </xf>
    <xf numFmtId="0" fontId="17" fillId="0" borderId="0" xfId="60" applyFont="1" applyFill="1" applyProtection="1">
      <alignment/>
      <protection locked="0"/>
    </xf>
    <xf numFmtId="166" fontId="103" fillId="0" borderId="0" xfId="60" applyNumberFormat="1" applyFont="1" applyFill="1" applyAlignment="1" applyProtection="1">
      <alignment horizontal="right" vertical="center" indent="1"/>
      <protection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right" wrapText="1"/>
      <protection locked="0"/>
    </xf>
    <xf numFmtId="166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6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0" fillId="0" borderId="0" xfId="61" applyFont="1" applyFill="1" applyAlignment="1" applyProtection="1">
      <alignment/>
      <protection locked="0"/>
    </xf>
    <xf numFmtId="0" fontId="10" fillId="0" borderId="0" xfId="60" applyFont="1" applyFill="1" applyAlignment="1" applyProtection="1">
      <alignment vertical="center"/>
      <protection/>
    </xf>
    <xf numFmtId="0" fontId="90" fillId="0" borderId="0" xfId="45" applyAlignment="1" applyProtection="1">
      <alignment/>
      <protection/>
    </xf>
    <xf numFmtId="0" fontId="33" fillId="0" borderId="0" xfId="0" applyFont="1" applyAlignment="1">
      <alignment wrapText="1"/>
    </xf>
    <xf numFmtId="0" fontId="2" fillId="0" borderId="0" xfId="61" applyFill="1" applyAlignment="1" applyProtection="1">
      <alignment vertical="center" wrapText="1"/>
      <protection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 vertical="center"/>
    </xf>
    <xf numFmtId="166" fontId="104" fillId="0" borderId="0" xfId="60" applyNumberFormat="1" applyFont="1" applyFill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166" fontId="104" fillId="0" borderId="0" xfId="60" applyNumberFormat="1" applyFont="1" applyFill="1" applyProtection="1">
      <alignment/>
      <protection/>
    </xf>
    <xf numFmtId="0" fontId="9" fillId="0" borderId="0" xfId="60" applyFont="1" applyFill="1" applyAlignment="1" applyProtection="1">
      <alignment horizontal="right"/>
      <protection locked="0"/>
    </xf>
    <xf numFmtId="166" fontId="16" fillId="0" borderId="43" xfId="60" applyNumberFormat="1" applyFont="1" applyFill="1" applyBorder="1" applyAlignment="1" applyProtection="1">
      <alignment horizontal="left" vertical="center"/>
      <protection locked="0"/>
    </xf>
    <xf numFmtId="0" fontId="1" fillId="0" borderId="0" xfId="60" applyFont="1" applyFill="1" applyProtection="1">
      <alignment/>
      <protection locked="0"/>
    </xf>
    <xf numFmtId="166" fontId="4" fillId="0" borderId="0" xfId="60" applyNumberFormat="1" applyFont="1" applyFill="1" applyBorder="1" applyAlignment="1" applyProtection="1">
      <alignment horizontal="centerContinuous" vertical="center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15" fillId="0" borderId="20" xfId="60" applyFont="1" applyFill="1" applyBorder="1" applyAlignment="1" applyProtection="1">
      <alignment horizontal="center" vertical="center" wrapText="1"/>
      <protection locked="0"/>
    </xf>
    <xf numFmtId="0" fontId="15" fillId="0" borderId="13" xfId="60" applyFont="1" applyFill="1" applyBorder="1" applyAlignment="1" applyProtection="1">
      <alignment horizontal="center" vertical="center" wrapText="1"/>
      <protection locked="0"/>
    </xf>
    <xf numFmtId="0" fontId="15" fillId="0" borderId="45" xfId="60" applyFont="1" applyFill="1" applyBorder="1" applyAlignment="1" applyProtection="1">
      <alignment horizontal="center" vertical="center" wrapText="1"/>
      <protection locked="0"/>
    </xf>
    <xf numFmtId="166" fontId="102" fillId="0" borderId="0" xfId="0" applyNumberFormat="1" applyFont="1" applyFill="1" applyAlignment="1" applyProtection="1">
      <alignment horizontal="right" vertical="center" wrapText="1" indent="1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5" fillId="0" borderId="43" xfId="0" applyFont="1" applyFill="1" applyBorder="1" applyAlignment="1" applyProtection="1">
      <alignment horizontal="right" vertical="center"/>
      <protection locked="0"/>
    </xf>
    <xf numFmtId="0" fontId="7" fillId="0" borderId="50" xfId="60" applyFont="1" applyFill="1" applyBorder="1" applyAlignment="1" applyProtection="1">
      <alignment horizontal="center" vertical="center" wrapText="1"/>
      <protection locked="0"/>
    </xf>
    <xf numFmtId="0" fontId="7" fillId="0" borderId="44" xfId="6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right"/>
      <protection/>
    </xf>
    <xf numFmtId="0" fontId="3" fillId="0" borderId="3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6" fillId="0" borderId="0" xfId="0" applyFont="1" applyFill="1" applyAlignment="1" applyProtection="1">
      <alignment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20" fillId="0" borderId="15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>
      <alignment/>
    </xf>
    <xf numFmtId="166" fontId="9" fillId="0" borderId="0" xfId="59" applyNumberFormat="1" applyFont="1" applyFill="1" applyAlignment="1" applyProtection="1">
      <alignment vertical="center" wrapText="1"/>
      <protection locked="0"/>
    </xf>
    <xf numFmtId="166" fontId="15" fillId="0" borderId="69" xfId="59" applyNumberFormat="1" applyFont="1" applyFill="1" applyBorder="1" applyAlignment="1">
      <alignment horizontal="center" vertical="center"/>
      <protection/>
    </xf>
    <xf numFmtId="166" fontId="15" fillId="0" borderId="31" xfId="59" applyNumberFormat="1" applyFont="1" applyFill="1" applyBorder="1" applyAlignment="1">
      <alignment horizontal="center" vertical="center"/>
      <protection/>
    </xf>
    <xf numFmtId="166" fontId="15" fillId="0" borderId="70" xfId="59" applyNumberFormat="1" applyFont="1" applyFill="1" applyBorder="1" applyAlignment="1">
      <alignment horizontal="center" vertical="center"/>
      <protection/>
    </xf>
    <xf numFmtId="166" fontId="15" fillId="0" borderId="31" xfId="59" applyNumberFormat="1" applyFont="1" applyFill="1" applyBorder="1" applyAlignment="1">
      <alignment horizontal="center" vertical="center" wrapText="1"/>
      <protection/>
    </xf>
    <xf numFmtId="166" fontId="15" fillId="0" borderId="70" xfId="59" applyNumberFormat="1" applyFont="1" applyFill="1" applyBorder="1" applyAlignment="1">
      <alignment horizontal="center" vertical="center" wrapText="1"/>
      <protection/>
    </xf>
    <xf numFmtId="49" fontId="14" fillId="0" borderId="65" xfId="59" applyNumberFormat="1" applyFont="1" applyFill="1" applyBorder="1" applyAlignment="1">
      <alignment horizontal="left" vertical="center"/>
      <protection/>
    </xf>
    <xf numFmtId="49" fontId="38" fillId="0" borderId="71" xfId="59" applyNumberFormat="1" applyFont="1" applyFill="1" applyBorder="1" applyAlignment="1" quotePrefix="1">
      <alignment horizontal="left" vertical="center"/>
      <protection/>
    </xf>
    <xf numFmtId="49" fontId="14" fillId="0" borderId="71" xfId="59" applyNumberFormat="1" applyFont="1" applyFill="1" applyBorder="1" applyAlignment="1">
      <alignment horizontal="left" vertical="center"/>
      <protection/>
    </xf>
    <xf numFmtId="49" fontId="7" fillId="0" borderId="51" xfId="59" applyNumberFormat="1" applyFont="1" applyFill="1" applyBorder="1" applyAlignment="1" applyProtection="1">
      <alignment horizontal="left" vertical="center"/>
      <protection locked="0"/>
    </xf>
    <xf numFmtId="49" fontId="14" fillId="0" borderId="18" xfId="59" applyNumberFormat="1" applyFont="1" applyFill="1" applyBorder="1" applyAlignment="1">
      <alignment horizontal="left" vertical="center"/>
      <protection/>
    </xf>
    <xf numFmtId="49" fontId="14" fillId="0" borderId="17" xfId="59" applyNumberFormat="1" applyFont="1" applyFill="1" applyBorder="1" applyAlignment="1">
      <alignment horizontal="left" vertical="center"/>
      <protection/>
    </xf>
    <xf numFmtId="49" fontId="14" fillId="0" borderId="19" xfId="59" applyNumberFormat="1" applyFont="1" applyFill="1" applyBorder="1" applyAlignment="1" applyProtection="1">
      <alignment horizontal="left" vertical="center"/>
      <protection locked="0"/>
    </xf>
    <xf numFmtId="175" fontId="7" fillId="0" borderId="31" xfId="59" applyNumberFormat="1" applyFont="1" applyFill="1" applyBorder="1" applyAlignment="1">
      <alignment horizontal="left" vertical="center" wrapText="1"/>
      <protection/>
    </xf>
    <xf numFmtId="166" fontId="0" fillId="0" borderId="0" xfId="59" applyNumberFormat="1" applyFill="1" applyAlignment="1">
      <alignment vertical="center" wrapText="1"/>
      <protection/>
    </xf>
    <xf numFmtId="166" fontId="5" fillId="0" borderId="43" xfId="59" applyNumberFormat="1" applyFont="1" applyFill="1" applyBorder="1" applyAlignment="1">
      <alignment horizontal="right" vertical="center"/>
      <protection/>
    </xf>
    <xf numFmtId="0" fontId="0" fillId="0" borderId="0" xfId="59" applyFill="1" applyAlignment="1">
      <alignment vertical="center"/>
      <protection/>
    </xf>
    <xf numFmtId="166" fontId="3" fillId="0" borderId="31" xfId="59" applyNumberFormat="1" applyFont="1" applyFill="1" applyBorder="1" applyAlignment="1">
      <alignment horizontal="center" vertical="center" wrapText="1"/>
      <protection/>
    </xf>
    <xf numFmtId="3" fontId="0" fillId="0" borderId="33" xfId="59" applyNumberFormat="1" applyFont="1" applyFill="1" applyBorder="1" applyAlignment="1" applyProtection="1">
      <alignment horizontal="right" vertical="center" wrapText="1"/>
      <protection locked="0"/>
    </xf>
    <xf numFmtId="3" fontId="0" fillId="0" borderId="72" xfId="59" applyNumberFormat="1" applyFont="1" applyFill="1" applyBorder="1" applyAlignment="1" applyProtection="1">
      <alignment horizontal="right" vertical="center" wrapText="1"/>
      <protection locked="0"/>
    </xf>
    <xf numFmtId="166" fontId="3" fillId="0" borderId="31" xfId="59" applyNumberFormat="1" applyFont="1" applyFill="1" applyBorder="1" applyAlignment="1">
      <alignment horizontal="right" vertical="center" wrapText="1"/>
      <protection/>
    </xf>
    <xf numFmtId="0" fontId="105" fillId="0" borderId="0" xfId="0" applyFont="1" applyAlignment="1">
      <alignment vertical="top" textRotation="180"/>
    </xf>
    <xf numFmtId="0" fontId="0" fillId="0" borderId="0" xfId="0" applyFill="1" applyAlignment="1" applyProtection="1">
      <alignment horizontal="right"/>
      <protection locked="0"/>
    </xf>
    <xf numFmtId="166" fontId="3" fillId="0" borderId="0" xfId="59" applyNumberFormat="1" applyFont="1" applyFill="1" applyBorder="1" applyAlignment="1">
      <alignment horizontal="left" vertical="center" wrapText="1"/>
      <protection/>
    </xf>
    <xf numFmtId="166" fontId="3" fillId="0" borderId="0" xfId="59" applyNumberFormat="1" applyFont="1" applyFill="1" applyBorder="1" applyAlignment="1">
      <alignment horizontal="right" vertical="center" wrapText="1"/>
      <protection/>
    </xf>
    <xf numFmtId="0" fontId="106" fillId="0" borderId="0" xfId="0" applyFont="1" applyAlignment="1">
      <alignment/>
    </xf>
    <xf numFmtId="166" fontId="14" fillId="0" borderId="73" xfId="59" applyNumberFormat="1" applyFont="1" applyFill="1" applyBorder="1" applyAlignment="1" applyProtection="1">
      <alignment horizontal="right" vertical="center" indent="2"/>
      <protection/>
    </xf>
    <xf numFmtId="166" fontId="14" fillId="0" borderId="73" xfId="59" applyNumberFormat="1" applyFont="1" applyFill="1" applyBorder="1" applyAlignment="1" applyProtection="1">
      <alignment horizontal="right" vertical="center" wrapText="1" indent="2"/>
      <protection locked="0"/>
    </xf>
    <xf numFmtId="166" fontId="14" fillId="0" borderId="74" xfId="59" applyNumberFormat="1" applyFont="1" applyFill="1" applyBorder="1" applyAlignment="1" applyProtection="1">
      <alignment horizontal="right" vertical="center" wrapText="1" indent="2"/>
      <protection locked="0"/>
    </xf>
    <xf numFmtId="166" fontId="38" fillId="0" borderId="32" xfId="59" applyNumberFormat="1" applyFont="1" applyFill="1" applyBorder="1" applyAlignment="1" applyProtection="1">
      <alignment horizontal="right" vertical="center" indent="2"/>
      <protection/>
    </xf>
    <xf numFmtId="166" fontId="38" fillId="0" borderId="32" xfId="59" applyNumberFormat="1" applyFont="1" applyFill="1" applyBorder="1" applyAlignment="1" applyProtection="1">
      <alignment horizontal="right" vertical="center" wrapText="1" indent="2"/>
      <protection locked="0"/>
    </xf>
    <xf numFmtId="166" fontId="14" fillId="0" borderId="32" xfId="59" applyNumberFormat="1" applyFont="1" applyFill="1" applyBorder="1" applyAlignment="1" applyProtection="1">
      <alignment horizontal="right" vertical="center" indent="2"/>
      <protection/>
    </xf>
    <xf numFmtId="166" fontId="14" fillId="0" borderId="32" xfId="59" applyNumberFormat="1" applyFont="1" applyFill="1" applyBorder="1" applyAlignment="1" applyProtection="1">
      <alignment horizontal="right" vertical="center" wrapText="1" indent="2"/>
      <protection locked="0"/>
    </xf>
    <xf numFmtId="166" fontId="7" fillId="0" borderId="31" xfId="59" applyNumberFormat="1" applyFont="1" applyFill="1" applyBorder="1" applyAlignment="1" applyProtection="1">
      <alignment horizontal="right" vertical="center" indent="2"/>
      <protection/>
    </xf>
    <xf numFmtId="166" fontId="7" fillId="0" borderId="31" xfId="59" applyNumberFormat="1" applyFont="1" applyFill="1" applyBorder="1" applyAlignment="1">
      <alignment horizontal="right" vertical="center" indent="2"/>
      <protection/>
    </xf>
    <xf numFmtId="166" fontId="7" fillId="0" borderId="31" xfId="59" applyNumberFormat="1" applyFont="1" applyFill="1" applyBorder="1" applyAlignment="1" applyProtection="1">
      <alignment horizontal="right" vertical="center" wrapText="1" indent="2"/>
      <protection/>
    </xf>
    <xf numFmtId="166" fontId="14" fillId="0" borderId="72" xfId="59" applyNumberFormat="1" applyFont="1" applyFill="1" applyBorder="1" applyAlignment="1" applyProtection="1">
      <alignment horizontal="right" vertical="center" indent="2"/>
      <protection/>
    </xf>
    <xf numFmtId="166" fontId="14" fillId="0" borderId="72" xfId="59" applyNumberFormat="1" applyFont="1" applyFill="1" applyBorder="1" applyAlignment="1" applyProtection="1">
      <alignment horizontal="right" vertical="center" wrapText="1" indent="2"/>
      <protection locked="0"/>
    </xf>
    <xf numFmtId="166" fontId="14" fillId="0" borderId="75" xfId="59" applyNumberFormat="1" applyFont="1" applyFill="1" applyBorder="1" applyAlignment="1" applyProtection="1">
      <alignment horizontal="right" vertical="center" wrapText="1" indent="2"/>
      <protection locked="0"/>
    </xf>
    <xf numFmtId="166" fontId="5" fillId="0" borderId="43" xfId="59" applyNumberFormat="1" applyFont="1" applyFill="1" applyBorder="1" applyAlignment="1" applyProtection="1">
      <alignment horizontal="right" vertical="center"/>
      <protection/>
    </xf>
    <xf numFmtId="0" fontId="17" fillId="0" borderId="35" xfId="60" applyFont="1" applyFill="1" applyBorder="1" applyAlignment="1" applyProtection="1">
      <alignment horizontal="left" vertical="center" wrapText="1" indent="1"/>
      <protection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76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75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6" xfId="60" applyFont="1" applyFill="1" applyBorder="1" applyAlignment="1">
      <alignment horizontal="center" vertical="center"/>
      <protection/>
    </xf>
    <xf numFmtId="0" fontId="0" fillId="0" borderId="77" xfId="60" applyFont="1" applyFill="1" applyBorder="1" applyProtection="1">
      <alignment/>
      <protection locked="0"/>
    </xf>
    <xf numFmtId="0" fontId="0" fillId="0" borderId="58" xfId="60" applyFont="1" applyFill="1" applyBorder="1" applyProtection="1">
      <alignment/>
      <protection locked="0"/>
    </xf>
    <xf numFmtId="0" fontId="0" fillId="0" borderId="78" xfId="60" applyFont="1" applyFill="1" applyBorder="1" applyProtection="1">
      <alignment/>
      <protection locked="0"/>
    </xf>
    <xf numFmtId="0" fontId="3" fillId="0" borderId="56" xfId="60" applyFont="1" applyFill="1" applyBorder="1">
      <alignment/>
      <protection/>
    </xf>
    <xf numFmtId="0" fontId="0" fillId="0" borderId="44" xfId="60" applyFont="1" applyFill="1" applyBorder="1" applyAlignment="1">
      <alignment horizontal="center" vertical="center"/>
      <protection/>
    </xf>
    <xf numFmtId="168" fontId="29" fillId="0" borderId="54" xfId="40" applyNumberFormat="1" applyFont="1" applyFill="1" applyBorder="1" applyAlignment="1">
      <alignment/>
    </xf>
    <xf numFmtId="168" fontId="30" fillId="0" borderId="44" xfId="60" applyNumberFormat="1" applyFont="1" applyFill="1" applyBorder="1">
      <alignment/>
      <protection/>
    </xf>
    <xf numFmtId="174" fontId="3" fillId="0" borderId="19" xfId="60" applyNumberFormat="1" applyFont="1" applyFill="1" applyBorder="1" applyAlignment="1">
      <alignment horizontal="center" vertical="center" wrapText="1"/>
      <protection/>
    </xf>
    <xf numFmtId="174" fontId="3" fillId="0" borderId="30" xfId="60" applyNumberFormat="1" applyFont="1" applyFill="1" applyBorder="1" applyAlignment="1">
      <alignment horizontal="center" vertical="center" wrapText="1"/>
      <protection/>
    </xf>
    <xf numFmtId="168" fontId="29" fillId="0" borderId="18" xfId="40" applyNumberFormat="1" applyFont="1" applyFill="1" applyBorder="1" applyAlignment="1" applyProtection="1">
      <alignment/>
      <protection locked="0"/>
    </xf>
    <xf numFmtId="168" fontId="29" fillId="0" borderId="34" xfId="40" applyNumberFormat="1" applyFont="1" applyFill="1" applyBorder="1" applyAlignment="1" applyProtection="1">
      <alignment/>
      <protection locked="0"/>
    </xf>
    <xf numFmtId="168" fontId="29" fillId="0" borderId="17" xfId="40" applyNumberFormat="1" applyFont="1" applyFill="1" applyBorder="1" applyAlignment="1" applyProtection="1">
      <alignment/>
      <protection locked="0"/>
    </xf>
    <xf numFmtId="168" fontId="29" fillId="0" borderId="29" xfId="40" applyNumberFormat="1" applyFont="1" applyFill="1" applyBorder="1" applyAlignment="1" applyProtection="1">
      <alignment/>
      <protection locked="0"/>
    </xf>
    <xf numFmtId="168" fontId="29" fillId="0" borderId="19" xfId="40" applyNumberFormat="1" applyFont="1" applyFill="1" applyBorder="1" applyAlignment="1" applyProtection="1">
      <alignment/>
      <protection locked="0"/>
    </xf>
    <xf numFmtId="168" fontId="29" fillId="0" borderId="30" xfId="40" applyNumberFormat="1" applyFont="1" applyFill="1" applyBorder="1" applyAlignment="1" applyProtection="1">
      <alignment/>
      <protection locked="0"/>
    </xf>
    <xf numFmtId="168" fontId="30" fillId="0" borderId="22" xfId="60" applyNumberFormat="1" applyFont="1" applyFill="1" applyBorder="1">
      <alignment/>
      <protection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0" borderId="57" xfId="0" applyNumberFormat="1" applyFont="1" applyFill="1" applyBorder="1" applyAlignment="1" applyProtection="1">
      <alignment vertical="center" wrapText="1"/>
      <protection/>
    </xf>
    <xf numFmtId="166" fontId="29" fillId="0" borderId="16" xfId="0" applyNumberFormat="1" applyFont="1" applyFill="1" applyBorder="1" applyAlignment="1" applyProtection="1">
      <alignment vertical="center" wrapText="1"/>
      <protection/>
    </xf>
    <xf numFmtId="166" fontId="29" fillId="0" borderId="10" xfId="0" applyNumberFormat="1" applyFont="1" applyFill="1" applyBorder="1" applyAlignment="1" applyProtection="1">
      <alignment vertical="center" wrapText="1"/>
      <protection/>
    </xf>
    <xf numFmtId="166" fontId="29" fillId="0" borderId="38" xfId="0" applyNumberFormat="1" applyFont="1" applyFill="1" applyBorder="1" applyAlignment="1" applyProtection="1">
      <alignment vertical="center" wrapText="1"/>
      <protection/>
    </xf>
    <xf numFmtId="166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73" xfId="0" applyNumberFormat="1" applyFill="1" applyBorder="1" applyAlignment="1" applyProtection="1">
      <alignment/>
      <protection locked="0"/>
    </xf>
    <xf numFmtId="49" fontId="0" fillId="0" borderId="79" xfId="0" applyNumberFormat="1" applyFill="1" applyBorder="1" applyAlignment="1" applyProtection="1">
      <alignment/>
      <protection locked="0"/>
    </xf>
    <xf numFmtId="49" fontId="0" fillId="0" borderId="8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107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/>
    </xf>
    <xf numFmtId="0" fontId="6" fillId="36" borderId="0" xfId="0" applyFont="1" applyFill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4" fillId="3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60" applyFont="1" applyFill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66" fontId="6" fillId="0" borderId="0" xfId="60" applyNumberFormat="1" applyFont="1" applyFill="1" applyBorder="1" applyAlignment="1" applyProtection="1">
      <alignment horizontal="center" vertical="center"/>
      <protection locked="0"/>
    </xf>
    <xf numFmtId="166" fontId="16" fillId="0" borderId="43" xfId="60" applyNumberFormat="1" applyFont="1" applyFill="1" applyBorder="1" applyAlignment="1" applyProtection="1">
      <alignment horizontal="left" vertical="center"/>
      <protection locked="0"/>
    </xf>
    <xf numFmtId="166" fontId="16" fillId="0" borderId="43" xfId="60" applyNumberFormat="1" applyFont="1" applyFill="1" applyBorder="1" applyAlignment="1" applyProtection="1">
      <alignment horizontal="left"/>
      <protection/>
    </xf>
    <xf numFmtId="0" fontId="15" fillId="0" borderId="0" xfId="60" applyFont="1" applyFill="1" applyAlignment="1" applyProtection="1">
      <alignment horizontal="center"/>
      <protection/>
    </xf>
    <xf numFmtId="166" fontId="16" fillId="0" borderId="43" xfId="60" applyNumberFormat="1" applyFont="1" applyFill="1" applyBorder="1" applyAlignment="1" applyProtection="1">
      <alignment horizontal="left" vertical="center"/>
      <protection/>
    </xf>
    <xf numFmtId="166" fontId="6" fillId="0" borderId="0" xfId="60" applyNumberFormat="1" applyFont="1" applyFill="1" applyBorder="1" applyAlignment="1" applyProtection="1">
      <alignment horizontal="center" vertical="center"/>
      <protection/>
    </xf>
    <xf numFmtId="166" fontId="7" fillId="0" borderId="73" xfId="0" applyNumberFormat="1" applyFont="1" applyFill="1" applyBorder="1" applyAlignment="1" applyProtection="1">
      <alignment horizontal="center" vertical="center" wrapText="1"/>
      <protection/>
    </xf>
    <xf numFmtId="166" fontId="7" fillId="0" borderId="70" xfId="0" applyNumberFormat="1" applyFont="1" applyFill="1" applyBorder="1" applyAlignment="1" applyProtection="1">
      <alignment horizontal="center" vertical="center" wrapText="1"/>
      <protection/>
    </xf>
    <xf numFmtId="166" fontId="9" fillId="0" borderId="0" xfId="0" applyNumberFormat="1" applyFont="1" applyFill="1" applyAlignment="1" applyProtection="1">
      <alignment horizontal="center" textRotation="180" wrapText="1"/>
      <protection/>
    </xf>
    <xf numFmtId="166" fontId="108" fillId="0" borderId="62" xfId="0" applyNumberFormat="1" applyFont="1" applyFill="1" applyBorder="1" applyAlignment="1" applyProtection="1">
      <alignment horizontal="left" vertical="top" wrapText="1"/>
      <protection/>
    </xf>
    <xf numFmtId="166" fontId="7" fillId="0" borderId="74" xfId="0" applyNumberFormat="1" applyFont="1" applyFill="1" applyBorder="1" applyAlignment="1" applyProtection="1">
      <alignment horizontal="center" vertical="center" wrapText="1"/>
      <protection/>
    </xf>
    <xf numFmtId="166" fontId="7" fillId="0" borderId="75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3" fillId="0" borderId="60" xfId="60" applyFont="1" applyFill="1" applyBorder="1" applyAlignment="1">
      <alignment horizontal="center" vertical="center" wrapText="1"/>
      <protection/>
    </xf>
    <xf numFmtId="0" fontId="3" fillId="0" borderId="49" xfId="60" applyFont="1" applyFill="1" applyBorder="1" applyAlignment="1">
      <alignment horizontal="center" vertical="center" wrapText="1"/>
      <protection/>
    </xf>
    <xf numFmtId="0" fontId="3" fillId="0" borderId="20" xfId="60" applyFont="1" applyFill="1" applyBorder="1" applyAlignment="1">
      <alignment horizontal="center" vertical="center" wrapText="1"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81" xfId="60" applyFont="1" applyFill="1" applyBorder="1" applyAlignment="1">
      <alignment horizontal="center" vertical="center" wrapText="1"/>
      <protection/>
    </xf>
    <xf numFmtId="0" fontId="3" fillId="0" borderId="78" xfId="60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 locked="0"/>
    </xf>
    <xf numFmtId="0" fontId="3" fillId="0" borderId="65" xfId="60" applyFont="1" applyFill="1" applyBorder="1" applyAlignment="1">
      <alignment horizontal="center" vertical="center" wrapText="1"/>
      <protection/>
    </xf>
    <xf numFmtId="0" fontId="3" fillId="0" borderId="82" xfId="60" applyFont="1" applyFill="1" applyBorder="1" applyAlignment="1">
      <alignment horizontal="center" vertical="center" wrapText="1"/>
      <protection/>
    </xf>
    <xf numFmtId="166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60" applyFont="1" applyFill="1" applyBorder="1" applyAlignment="1" applyProtection="1">
      <alignment horizontal="left"/>
      <protection/>
    </xf>
    <xf numFmtId="0" fontId="7" fillId="0" borderId="23" xfId="60" applyFont="1" applyFill="1" applyBorder="1" applyAlignment="1" applyProtection="1">
      <alignment horizontal="left"/>
      <protection/>
    </xf>
    <xf numFmtId="0" fontId="17" fillId="0" borderId="62" xfId="60" applyFont="1" applyFill="1" applyBorder="1" applyAlignment="1">
      <alignment horizontal="justify" vertical="center" wrapText="1"/>
      <protection/>
    </xf>
    <xf numFmtId="0" fontId="0" fillId="0" borderId="62" xfId="60" applyFont="1" applyBorder="1" applyAlignment="1">
      <alignment horizontal="left" vertical="top" wrapText="1"/>
      <protection/>
    </xf>
    <xf numFmtId="166" fontId="6" fillId="0" borderId="0" xfId="0" applyNumberFormat="1" applyFont="1" applyFill="1" applyAlignment="1" applyProtection="1">
      <alignment horizontal="center" vertical="center" wrapText="1"/>
      <protection locked="0"/>
    </xf>
    <xf numFmtId="166" fontId="9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0" fontId="40" fillId="0" borderId="0" xfId="59" applyFont="1" applyFill="1" applyAlignment="1">
      <alignment horizontal="center" vertical="top" textRotation="180"/>
      <protection/>
    </xf>
    <xf numFmtId="166" fontId="3" fillId="0" borderId="83" xfId="59" applyNumberFormat="1" applyFont="1" applyFill="1" applyBorder="1" applyAlignment="1">
      <alignment horizontal="center" vertical="center" wrapText="1"/>
      <protection/>
    </xf>
    <xf numFmtId="166" fontId="3" fillId="0" borderId="62" xfId="59" applyNumberFormat="1" applyFont="1" applyFill="1" applyBorder="1" applyAlignment="1">
      <alignment horizontal="center" vertical="center" wrapText="1"/>
      <protection/>
    </xf>
    <xf numFmtId="0" fontId="0" fillId="0" borderId="67" xfId="59" applyFont="1" applyBorder="1" applyAlignment="1">
      <alignment horizontal="center" vertical="center" wrapText="1"/>
      <protection/>
    </xf>
    <xf numFmtId="166" fontId="3" fillId="0" borderId="73" xfId="59" applyNumberFormat="1" applyFont="1" applyFill="1" applyBorder="1" applyAlignment="1">
      <alignment horizontal="center" vertical="center" wrapText="1"/>
      <protection/>
    </xf>
    <xf numFmtId="166" fontId="3" fillId="0" borderId="57" xfId="59" applyNumberFormat="1" applyFont="1" applyFill="1" applyBorder="1" applyAlignment="1">
      <alignment horizontal="center" vertical="center"/>
      <protection/>
    </xf>
    <xf numFmtId="0" fontId="109" fillId="0" borderId="70" xfId="0" applyFont="1" applyBorder="1" applyAlignment="1">
      <alignment horizontal="center" vertical="center"/>
    </xf>
    <xf numFmtId="0" fontId="6" fillId="0" borderId="0" xfId="59" applyFont="1" applyFill="1" applyAlignment="1" applyProtection="1">
      <alignment horizontal="center" vertical="center"/>
      <protection locked="0"/>
    </xf>
    <xf numFmtId="0" fontId="6" fillId="0" borderId="0" xfId="59" applyFont="1" applyAlignment="1">
      <alignment horizontal="center" vertical="center"/>
      <protection/>
    </xf>
    <xf numFmtId="166" fontId="3" fillId="0" borderId="51" xfId="59" applyNumberFormat="1" applyFont="1" applyFill="1" applyBorder="1" applyAlignment="1">
      <alignment horizontal="center" vertical="center" wrapText="1"/>
      <protection/>
    </xf>
    <xf numFmtId="0" fontId="0" fillId="0" borderId="52" xfId="59" applyFont="1" applyBorder="1" applyAlignment="1">
      <alignment horizontal="center" vertical="center" wrapText="1"/>
      <protection/>
    </xf>
    <xf numFmtId="0" fontId="0" fillId="0" borderId="44" xfId="59" applyFont="1" applyBorder="1" applyAlignment="1">
      <alignment horizontal="center" vertical="center" wrapText="1"/>
      <protection/>
    </xf>
    <xf numFmtId="0" fontId="109" fillId="0" borderId="70" xfId="0" applyFont="1" applyBorder="1" applyAlignment="1">
      <alignment horizontal="center" vertical="center" wrapText="1"/>
    </xf>
    <xf numFmtId="175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166" fontId="3" fillId="0" borderId="51" xfId="59" applyNumberFormat="1" applyFont="1" applyFill="1" applyBorder="1" applyAlignment="1">
      <alignment horizontal="center" vertical="center" wrapText="1"/>
      <protection/>
    </xf>
    <xf numFmtId="166" fontId="3" fillId="0" borderId="52" xfId="59" applyNumberFormat="1" applyFont="1" applyFill="1" applyBorder="1" applyAlignment="1">
      <alignment horizontal="center" vertical="center" wrapText="1"/>
      <protection/>
    </xf>
    <xf numFmtId="166" fontId="0" fillId="0" borderId="65" xfId="59" applyNumberFormat="1" applyFont="1" applyFill="1" applyBorder="1" applyAlignment="1" applyProtection="1">
      <alignment horizontal="left" vertical="center" wrapText="1"/>
      <protection locked="0"/>
    </xf>
    <xf numFmtId="166" fontId="0" fillId="0" borderId="82" xfId="59" applyNumberFormat="1" applyFill="1" applyBorder="1" applyAlignment="1" applyProtection="1">
      <alignment horizontal="left" vertical="center" wrapText="1"/>
      <protection locked="0"/>
    </xf>
    <xf numFmtId="166" fontId="0" fillId="0" borderId="66" xfId="59" applyNumberFormat="1" applyFill="1" applyBorder="1" applyAlignment="1" applyProtection="1">
      <alignment horizontal="left" vertical="center" wrapText="1"/>
      <protection locked="0"/>
    </xf>
    <xf numFmtId="166" fontId="0" fillId="0" borderId="84" xfId="59" applyNumberFormat="1" applyFill="1" applyBorder="1" applyAlignment="1" applyProtection="1">
      <alignment horizontal="left" vertical="center" wrapText="1"/>
      <protection locked="0"/>
    </xf>
    <xf numFmtId="166" fontId="3" fillId="0" borderId="51" xfId="59" applyNumberFormat="1" applyFont="1" applyFill="1" applyBorder="1" applyAlignment="1">
      <alignment horizontal="left" vertical="center" wrapText="1"/>
      <protection/>
    </xf>
    <xf numFmtId="166" fontId="3" fillId="0" borderId="52" xfId="59" applyNumberFormat="1" applyFont="1" applyFill="1" applyBorder="1" applyAlignment="1">
      <alignment horizontal="left" vertical="center" wrapText="1"/>
      <protection/>
    </xf>
    <xf numFmtId="175" fontId="39" fillId="0" borderId="62" xfId="59" applyNumberFormat="1" applyFont="1" applyFill="1" applyBorder="1" applyAlignment="1" applyProtection="1">
      <alignment horizontal="left" vertical="center" wrapText="1"/>
      <protection locked="0"/>
    </xf>
    <xf numFmtId="0" fontId="6" fillId="0" borderId="0" xfId="59" applyFont="1" applyFill="1" applyAlignment="1">
      <alignment horizontal="center" vertical="center"/>
      <protection/>
    </xf>
    <xf numFmtId="166" fontId="4" fillId="0" borderId="0" xfId="59" applyNumberFormat="1" applyFont="1" applyFill="1" applyAlignment="1" applyProtection="1">
      <alignment horizontal="left" vertical="center" wrapText="1"/>
      <protection locked="0"/>
    </xf>
    <xf numFmtId="166" fontId="0" fillId="0" borderId="0" xfId="59" applyNumberFormat="1" applyFont="1" applyFill="1" applyAlignment="1" applyProtection="1">
      <alignment horizontal="left" vertical="center" wrapText="1"/>
      <protection locked="0"/>
    </xf>
    <xf numFmtId="166" fontId="0" fillId="0" borderId="0" xfId="59" applyNumberFormat="1" applyFill="1" applyAlignment="1" applyProtection="1">
      <alignment horizontal="left" vertical="center" wrapText="1"/>
      <protection locked="0"/>
    </xf>
    <xf numFmtId="166" fontId="3" fillId="0" borderId="83" xfId="59" applyNumberFormat="1" applyFont="1" applyFill="1" applyBorder="1" applyAlignment="1">
      <alignment horizontal="center" vertical="center"/>
      <protection/>
    </xf>
    <xf numFmtId="166" fontId="3" fillId="0" borderId="59" xfId="59" applyNumberFormat="1" applyFont="1" applyFill="1" applyBorder="1" applyAlignment="1">
      <alignment horizontal="center" vertical="center"/>
      <protection/>
    </xf>
    <xf numFmtId="166" fontId="3" fillId="0" borderId="69" xfId="59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/>
    </xf>
    <xf numFmtId="0" fontId="4" fillId="0" borderId="0" xfId="60" applyFont="1" applyFill="1" applyAlignment="1" applyProtection="1">
      <alignment horizontal="center"/>
      <protection locked="0"/>
    </xf>
    <xf numFmtId="0" fontId="4" fillId="0" borderId="0" xfId="60" applyFont="1" applyFill="1" applyAlignment="1" applyProtection="1">
      <alignment horizontal="center" vertical="center"/>
      <protection locked="0"/>
    </xf>
    <xf numFmtId="166" fontId="9" fillId="0" borderId="0" xfId="0" applyNumberFormat="1" applyFont="1" applyFill="1" applyBorder="1" applyAlignment="1" applyProtection="1">
      <alignment horizontal="right" textRotation="180" wrapText="1"/>
      <protection/>
    </xf>
    <xf numFmtId="166" fontId="7" fillId="0" borderId="51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44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73" xfId="0" applyNumberFormat="1" applyFont="1" applyFill="1" applyBorder="1" applyAlignment="1" applyProtection="1">
      <alignment horizontal="center" vertical="center"/>
      <protection/>
    </xf>
    <xf numFmtId="166" fontId="7" fillId="0" borderId="70" xfId="0" applyNumberFormat="1" applyFont="1" applyFill="1" applyBorder="1" applyAlignment="1" applyProtection="1">
      <alignment horizontal="center" vertical="center"/>
      <protection/>
    </xf>
    <xf numFmtId="166" fontId="7" fillId="0" borderId="65" xfId="0" applyNumberFormat="1" applyFont="1" applyFill="1" applyBorder="1" applyAlignment="1" applyProtection="1">
      <alignment horizontal="center" vertical="center"/>
      <protection/>
    </xf>
    <xf numFmtId="166" fontId="7" fillId="0" borderId="82" xfId="0" applyNumberFormat="1" applyFont="1" applyFill="1" applyBorder="1" applyAlignment="1" applyProtection="1">
      <alignment horizontal="center" vertical="center"/>
      <protection/>
    </xf>
    <xf numFmtId="166" fontId="7" fillId="0" borderId="60" xfId="0" applyNumberFormat="1" applyFont="1" applyFill="1" applyBorder="1" applyAlignment="1" applyProtection="1">
      <alignment horizontal="center" vertical="center"/>
      <protection/>
    </xf>
    <xf numFmtId="166" fontId="7" fillId="0" borderId="73" xfId="0" applyNumberFormat="1" applyFont="1" applyFill="1" applyBorder="1" applyAlignment="1" applyProtection="1">
      <alignment horizontal="center" vertical="center" wrapText="1"/>
      <protection/>
    </xf>
    <xf numFmtId="166" fontId="7" fillId="0" borderId="70" xfId="0" applyNumberFormat="1" applyFont="1" applyFill="1" applyBorder="1" applyAlignment="1" applyProtection="1">
      <alignment horizontal="center" vertical="center" wrapText="1"/>
      <protection/>
    </xf>
    <xf numFmtId="0" fontId="17" fillId="0" borderId="62" xfId="0" applyFont="1" applyFill="1" applyBorder="1" applyAlignment="1">
      <alignment horizontal="justify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16" fillId="0" borderId="56" xfId="61" applyFont="1" applyFill="1" applyBorder="1" applyAlignment="1" applyProtection="1">
      <alignment horizontal="left" vertical="center" indent="1"/>
      <protection/>
    </xf>
    <xf numFmtId="0" fontId="16" fillId="0" borderId="52" xfId="61" applyFont="1" applyFill="1" applyBorder="1" applyAlignment="1" applyProtection="1">
      <alignment horizontal="left" vertical="center" indent="1"/>
      <protection/>
    </xf>
    <xf numFmtId="0" fontId="16" fillId="0" borderId="44" xfId="61" applyFont="1" applyFill="1" applyBorder="1" applyAlignment="1" applyProtection="1">
      <alignment horizontal="left" vertical="center" indent="1"/>
      <protection/>
    </xf>
    <xf numFmtId="0" fontId="6" fillId="0" borderId="0" xfId="61" applyFont="1" applyFill="1" applyAlignment="1" applyProtection="1">
      <alignment horizontal="center" wrapText="1"/>
      <protection/>
    </xf>
    <xf numFmtId="0" fontId="6" fillId="0" borderId="0" xfId="61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textRotation="180"/>
    </xf>
    <xf numFmtId="0" fontId="8" fillId="0" borderId="62" xfId="0" applyFont="1" applyBorder="1" applyAlignment="1">
      <alignment/>
    </xf>
    <xf numFmtId="0" fontId="16" fillId="0" borderId="0" xfId="0" applyFont="1" applyAlignment="1" applyProtection="1">
      <alignment horizontal="right"/>
      <protection/>
    </xf>
    <xf numFmtId="0" fontId="7" fillId="0" borderId="51" xfId="0" applyFont="1" applyBorder="1" applyAlignment="1" applyProtection="1">
      <alignment horizontal="left" vertical="center" indent="2"/>
      <protection/>
    </xf>
    <xf numFmtId="0" fontId="7" fillId="0" borderId="50" xfId="0" applyFont="1" applyBorder="1" applyAlignment="1" applyProtection="1">
      <alignment horizontal="left" vertical="center" indent="2"/>
      <protection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60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17" fillId="0" borderId="12" xfId="0" applyFont="1" applyBorder="1" applyAlignment="1" applyProtection="1">
      <alignment horizontal="left" vertical="center" indent="1"/>
      <protection locked="0"/>
    </xf>
    <xf numFmtId="0" fontId="3" fillId="0" borderId="23" xfId="0" applyFont="1" applyBorder="1" applyAlignment="1" applyProtection="1">
      <alignment horizontal="center" vertical="center"/>
      <protection/>
    </xf>
    <xf numFmtId="0" fontId="70" fillId="37" borderId="11" xfId="0" applyFont="1" applyFill="1" applyBorder="1" applyAlignment="1">
      <alignment horizontal="center" vertical="center"/>
    </xf>
    <xf numFmtId="0" fontId="71" fillId="37" borderId="11" xfId="0" applyFont="1" applyFill="1" applyBorder="1" applyAlignment="1">
      <alignment horizontal="center" vertical="center"/>
    </xf>
    <xf numFmtId="0" fontId="72" fillId="37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1" fillId="38" borderId="11" xfId="0" applyFont="1" applyFill="1" applyBorder="1" applyAlignment="1">
      <alignment horizontal="center" vertical="center"/>
    </xf>
    <xf numFmtId="3" fontId="71" fillId="38" borderId="11" xfId="0" applyNumberFormat="1" applyFont="1" applyFill="1" applyBorder="1" applyAlignment="1">
      <alignment horizontal="center" vertical="center" wrapText="1"/>
    </xf>
    <xf numFmtId="3" fontId="71" fillId="38" borderId="11" xfId="0" applyNumberFormat="1" applyFont="1" applyFill="1" applyBorder="1" applyAlignment="1">
      <alignment horizontal="center" vertical="center"/>
    </xf>
    <xf numFmtId="0" fontId="71" fillId="39" borderId="11" xfId="0" applyFont="1" applyFill="1" applyBorder="1" applyAlignment="1">
      <alignment horizontal="center" vertical="center"/>
    </xf>
    <xf numFmtId="0" fontId="73" fillId="40" borderId="11" xfId="0" applyFont="1" applyFill="1" applyBorder="1" applyAlignment="1">
      <alignment horizontal="left" vertical="center"/>
    </xf>
    <xf numFmtId="3" fontId="73" fillId="40" borderId="11" xfId="0" applyNumberFormat="1" applyFont="1" applyFill="1" applyBorder="1" applyAlignment="1">
      <alignment horizontal="right" vertical="center"/>
    </xf>
    <xf numFmtId="3" fontId="71" fillId="40" borderId="11" xfId="0" applyNumberFormat="1" applyFont="1" applyFill="1" applyBorder="1" applyAlignment="1">
      <alignment horizontal="right" vertical="center"/>
    </xf>
    <xf numFmtId="2" fontId="71" fillId="40" borderId="11" xfId="0" applyNumberFormat="1" applyFont="1" applyFill="1" applyBorder="1" applyAlignment="1">
      <alignment horizontal="left" vertical="center" wrapText="1"/>
    </xf>
    <xf numFmtId="0" fontId="71" fillId="40" borderId="11" xfId="0" applyFont="1" applyFill="1" applyBorder="1" applyAlignment="1">
      <alignment vertical="center" wrapText="1"/>
    </xf>
    <xf numFmtId="0" fontId="71" fillId="41" borderId="11" xfId="0" applyFont="1" applyFill="1" applyBorder="1" applyAlignment="1">
      <alignment vertical="center"/>
    </xf>
    <xf numFmtId="3" fontId="73" fillId="41" borderId="11" xfId="0" applyNumberFormat="1" applyFont="1" applyFill="1" applyBorder="1" applyAlignment="1">
      <alignment horizontal="right" vertical="center"/>
    </xf>
    <xf numFmtId="3" fontId="71" fillId="41" borderId="11" xfId="0" applyNumberFormat="1" applyFont="1" applyFill="1" applyBorder="1" applyAlignment="1">
      <alignment horizontal="right" vertical="center"/>
    </xf>
    <xf numFmtId="0" fontId="110" fillId="0" borderId="11" xfId="0" applyFont="1" applyBorder="1" applyAlignment="1">
      <alignment vertical="center" wrapText="1"/>
    </xf>
    <xf numFmtId="3" fontId="73" fillId="0" borderId="11" xfId="0" applyNumberFormat="1" applyFont="1" applyBorder="1" applyAlignment="1">
      <alignment horizontal="right" vertical="center" wrapText="1"/>
    </xf>
    <xf numFmtId="3" fontId="73" fillId="0" borderId="11" xfId="0" applyNumberFormat="1" applyFont="1" applyBorder="1" applyAlignment="1">
      <alignment horizontal="right" vertical="center"/>
    </xf>
    <xf numFmtId="3" fontId="71" fillId="0" borderId="11" xfId="0" applyNumberFormat="1" applyFont="1" applyBorder="1" applyAlignment="1">
      <alignment horizontal="right" vertical="center"/>
    </xf>
    <xf numFmtId="0" fontId="71" fillId="0" borderId="11" xfId="0" applyFont="1" applyBorder="1" applyAlignment="1">
      <alignment vertical="center" wrapText="1"/>
    </xf>
    <xf numFmtId="0" fontId="73" fillId="0" borderId="11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71" fillId="42" borderId="11" xfId="0" applyFont="1" applyFill="1" applyBorder="1" applyAlignment="1">
      <alignment vertical="center"/>
    </xf>
    <xf numFmtId="3" fontId="73" fillId="42" borderId="11" xfId="0" applyNumberFormat="1" applyFont="1" applyFill="1" applyBorder="1" applyAlignment="1">
      <alignment horizontal="right" vertical="center"/>
    </xf>
    <xf numFmtId="3" fontId="71" fillId="43" borderId="11" xfId="0" applyNumberFormat="1" applyFont="1" applyFill="1" applyBorder="1" applyAlignment="1">
      <alignment horizontal="right" vertical="center"/>
    </xf>
    <xf numFmtId="0" fontId="111" fillId="0" borderId="0" xfId="45" applyFont="1" applyAlignment="1" applyProtection="1">
      <alignment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_KVRENMUNKA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  <cellStyle name="Százalék 2" xfId="69"/>
  </cellStyles>
  <dxfs count="8">
    <dxf>
      <font>
        <color indexed="9"/>
      </font>
    </dxf>
    <dxf>
      <font>
        <color indexed="10"/>
      </font>
    </dxf>
    <dxf>
      <font>
        <color rgb="FFFF0000"/>
      </font>
    </dxf>
    <dxf>
      <font>
        <color rgb="FFFFC000"/>
      </font>
    </dxf>
    <dxf>
      <font>
        <color rgb="FFFFC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0</xdr:row>
      <xdr:rowOff>133350</xdr:rowOff>
    </xdr:from>
    <xdr:to>
      <xdr:col>25</xdr:col>
      <xdr:colOff>209550</xdr:colOff>
      <xdr:row>15</xdr:row>
      <xdr:rowOff>161925</xdr:rowOff>
    </xdr:to>
    <xdr:grpSp>
      <xdr:nvGrpSpPr>
        <xdr:cNvPr id="1" name="Csoportba foglalás 11"/>
        <xdr:cNvGrpSpPr>
          <a:grpSpLocks/>
        </xdr:cNvGrpSpPr>
      </xdr:nvGrpSpPr>
      <xdr:grpSpPr>
        <a:xfrm>
          <a:off x="10020300" y="133350"/>
          <a:ext cx="6305550" cy="2714625"/>
          <a:chOff x="7866063" y="158750"/>
          <a:chExt cx="4900613" cy="2651125"/>
        </a:xfrm>
        <a:solidFill>
          <a:srgbClr val="FFFFFF"/>
        </a:solidFill>
      </xdr:grpSpPr>
      <xdr:sp>
        <xdr:nvSpPr>
          <xdr:cNvPr id="2" name="Beszédbuborék: négyszög 2"/>
          <xdr:cNvSpPr>
            <a:spLocks/>
          </xdr:cNvSpPr>
        </xdr:nvSpPr>
        <xdr:spPr>
          <a:xfrm>
            <a:off x="7866063" y="158750"/>
            <a:ext cx="4900613" cy="2651125"/>
          </a:xfrm>
          <a:prstGeom prst="wedgeRectCallout">
            <a:avLst>
              <a:gd name="adj1" fmla="val -59893"/>
              <a:gd name="adj2" fmla="val 13217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Teendő: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Ha nem a székhely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szerinti önkormányzatra készülnek a táblázatok, kattintson ide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,ha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feljön az "Igen" és "Nem" akkor kattintson a "Nem"-re. Ezt csak a  közös hivatallal rendelkező önkormányzatok esetében kell megtenni, polgármesteri hivatalok esetében minditg az alaphelyzetet (Igen) kell meghagyni!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Magyarázat: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Csak székhellyel rendelkező önkormányzatnál lehet közös hivatal, a többinél nem. ezért abban az esetben , ha másik önkormányzat táblázatait készítik az Igen-ről Nem-re történő váltásra azért van szükség, hogy a 9.1 (Önkormányzati táblázatok) melléklet számai után a költségvetési szervek melléklet számai 9.2.-vel folytatódjanak. A közös hivatal táblázatai továbbra is megmaradnak, de azokat ebben az esetben nem kell kinyomtatni. </a:t>
            </a:r>
          </a:p>
        </xdr:txBody>
      </xdr:sp>
      <xdr:pic>
        <xdr:nvPicPr>
          <xdr:cNvPr id="3" name="Kép 3"/>
          <xdr:cNvPicPr preferRelativeResize="1">
            <a:picLocks noChangeAspect="1"/>
          </xdr:cNvPicPr>
        </xdr:nvPicPr>
        <xdr:blipFill>
          <a:blip r:embed="rId1"/>
          <a:srcRect l="21466" t="43756" r="75947" b="52978"/>
          <a:stretch>
            <a:fillRect/>
          </a:stretch>
        </xdr:blipFill>
        <xdr:spPr>
          <a:xfrm>
            <a:off x="7953049" y="525268"/>
            <a:ext cx="1358695" cy="51166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Nyíl: balra mutató 4"/>
          <xdr:cNvSpPr>
            <a:spLocks/>
          </xdr:cNvSpPr>
        </xdr:nvSpPr>
        <xdr:spPr>
          <a:xfrm>
            <a:off x="9151249" y="659150"/>
            <a:ext cx="818402" cy="269089"/>
          </a:xfrm>
          <a:prstGeom prst="leftArrow">
            <a:avLst>
              <a:gd name="adj" fmla="val -33574"/>
            </a:avLst>
          </a:prstGeom>
          <a:solidFill>
            <a:srgbClr val="C0504D"/>
          </a:solidFill>
          <a:ln w="25400" cmpd="sng">
            <a:solidFill>
              <a:srgbClr val="8C383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16</xdr:col>
      <xdr:colOff>9525</xdr:colOff>
      <xdr:row>16</xdr:row>
      <xdr:rowOff>133350</xdr:rowOff>
    </xdr:from>
    <xdr:to>
      <xdr:col>25</xdr:col>
      <xdr:colOff>161925</xdr:colOff>
      <xdr:row>23</xdr:row>
      <xdr:rowOff>76200</xdr:rowOff>
    </xdr:to>
    <xdr:sp>
      <xdr:nvSpPr>
        <xdr:cNvPr id="5" name="Téglalap 5"/>
        <xdr:cNvSpPr>
          <a:spLocks/>
        </xdr:cNvSpPr>
      </xdr:nvSpPr>
      <xdr:spPr>
        <a:xfrm>
          <a:off x="9953625" y="3000375"/>
          <a:ext cx="6324600" cy="1209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 KV_1.1.sz.mell.</a:t>
          </a:r>
          <a:r>
            <a:rPr lang="en-US" cap="none" sz="1100" b="0" i="0" u="none" baseline="0">
              <a:solidFill>
                <a:srgbClr val="FFFFFF"/>
              </a:solidFill>
            </a:rPr>
            <a:t> fülnél a </a:t>
          </a:r>
          <a:r>
            <a:rPr lang="en-US" cap="none" sz="1100" b="1" i="1" u="none" baseline="0">
              <a:solidFill>
                <a:srgbClr val="FFFFFF"/>
              </a:solidFill>
            </a:rPr>
            <a:t>4. Közhatalmi bevételek </a:t>
          </a:r>
          <a:r>
            <a:rPr lang="en-US" cap="none" sz="1100" b="0" i="0" u="none" baseline="0">
              <a:solidFill>
                <a:srgbClr val="FFFFFF"/>
              </a:solidFill>
            </a:rPr>
            <a:t>bevételi jogcímei, abban az esetben ha az önkormányzatnál más bevételi jogcímek is előfordulnak, akkor bármelyik bevételi jogcím átírható arra, amit szerepeltetni szeretne az önkormányzat. 
</a:t>
          </a:r>
          <a:r>
            <a:rPr lang="en-US" cap="none" sz="1100" b="1" i="0" u="none" baseline="0">
              <a:solidFill>
                <a:srgbClr val="FFFFFF"/>
              </a:solidFill>
            </a:rPr>
            <a:t>Ezt csak a KV_1.1.sz.mell. fülnél kell elvégzeni, a többi táblázat automatikusan javítódik!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6"/>
  <sheetViews>
    <sheetView zoomScale="120" zoomScaleNormal="120" zoomScalePageLayoutView="0" workbookViewId="0" topLeftCell="A6">
      <selection activeCell="B28" sqref="B28"/>
    </sheetView>
  </sheetViews>
  <sheetFormatPr defaultColWidth="9.00390625" defaultRowHeight="12.75"/>
  <cols>
    <col min="1" max="1" width="35.375" style="0" customWidth="1"/>
    <col min="2" max="2" width="83.00390625" style="0" customWidth="1"/>
    <col min="3" max="3" width="34.50390625" style="0" customWidth="1"/>
  </cols>
  <sheetData>
    <row r="1" ht="12.75">
      <c r="A1" s="673">
        <v>2021</v>
      </c>
    </row>
    <row r="2" spans="1:3" ht="18.75" customHeight="1">
      <c r="A2" s="726" t="s">
        <v>571</v>
      </c>
      <c r="B2" s="726"/>
      <c r="C2" s="726"/>
    </row>
    <row r="3" spans="1:3" ht="15">
      <c r="A3" s="553"/>
      <c r="B3" s="554"/>
      <c r="C3" s="553"/>
    </row>
    <row r="4" spans="1:3" ht="14.25">
      <c r="A4" s="555" t="s">
        <v>580</v>
      </c>
      <c r="B4" s="556" t="s">
        <v>579</v>
      </c>
      <c r="C4" s="555" t="s">
        <v>572</v>
      </c>
    </row>
    <row r="5" spans="1:3" ht="12.75">
      <c r="A5" s="557"/>
      <c r="B5" s="557"/>
      <c r="C5" s="557"/>
    </row>
    <row r="6" spans="1:3" ht="18.75">
      <c r="A6" s="727" t="s">
        <v>684</v>
      </c>
      <c r="B6" s="727"/>
      <c r="C6" s="727"/>
    </row>
    <row r="7" spans="1:3" ht="12.75">
      <c r="A7" s="557" t="s">
        <v>581</v>
      </c>
      <c r="B7" s="557" t="s">
        <v>582</v>
      </c>
      <c r="C7" s="616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ht="12.75">
      <c r="A8" s="557" t="s">
        <v>583</v>
      </c>
      <c r="B8" s="557" t="s">
        <v>651</v>
      </c>
      <c r="C8" s="616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ht="12.75">
      <c r="A9" s="557" t="s">
        <v>584</v>
      </c>
      <c r="B9" s="557" t="s">
        <v>585</v>
      </c>
      <c r="C9" s="616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ht="12.75">
      <c r="A10" s="557" t="s">
        <v>586</v>
      </c>
      <c r="B10" s="557" t="s">
        <v>588</v>
      </c>
      <c r="C10" s="616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ht="12.75">
      <c r="A11" s="557" t="s">
        <v>587</v>
      </c>
      <c r="B11" s="557" t="s">
        <v>589</v>
      </c>
      <c r="C11" s="616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ht="12.75">
      <c r="A12" s="557" t="s">
        <v>590</v>
      </c>
      <c r="B12" s="557" t="s">
        <v>591</v>
      </c>
      <c r="C12" s="616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ht="12.75">
      <c r="A13" s="557" t="s">
        <v>592</v>
      </c>
      <c r="B13" s="557" t="s">
        <v>593</v>
      </c>
      <c r="C13" s="616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ht="12.75">
      <c r="A14" s="557" t="s">
        <v>594</v>
      </c>
      <c r="B14" s="557" t="s">
        <v>595</v>
      </c>
      <c r="C14" s="616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ht="12.75">
      <c r="A15" s="557" t="s">
        <v>596</v>
      </c>
      <c r="B15" s="557" t="s">
        <v>768</v>
      </c>
      <c r="C15" s="616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6" spans="1:3" ht="12.75">
      <c r="A16" s="557" t="s">
        <v>597</v>
      </c>
      <c r="B16" s="557" t="s">
        <v>652</v>
      </c>
      <c r="C16" s="616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ht="12.75">
      <c r="A17" s="557" t="s">
        <v>598</v>
      </c>
      <c r="B17" s="557" t="s">
        <v>599</v>
      </c>
      <c r="C17" s="616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ht="12.75">
      <c r="A18" s="557" t="s">
        <v>601</v>
      </c>
      <c r="B18" s="557" t="s">
        <v>600</v>
      </c>
      <c r="C18" s="616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ht="12.75">
      <c r="A19" s="557" t="s">
        <v>602</v>
      </c>
      <c r="B19" s="557" t="s">
        <v>603</v>
      </c>
      <c r="C19" s="616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ht="12.75">
      <c r="A20" s="557" t="s">
        <v>604</v>
      </c>
      <c r="B20" s="557" t="s">
        <v>605</v>
      </c>
      <c r="C20" s="616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ht="12.75">
      <c r="A21" s="557" t="s">
        <v>606</v>
      </c>
      <c r="B21" s="557" t="s">
        <v>607</v>
      </c>
      <c r="C21" s="616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ht="12.75">
      <c r="A22" s="562" t="s">
        <v>608</v>
      </c>
      <c r="B22" s="557" t="s">
        <v>609</v>
      </c>
      <c r="C22" s="616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ht="12.75">
      <c r="A23" s="563" t="s">
        <v>610</v>
      </c>
      <c r="B23" s="557" t="s">
        <v>611</v>
      </c>
      <c r="C23" s="616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ht="12.75">
      <c r="A24" s="557" t="s">
        <v>612</v>
      </c>
      <c r="B24" s="557" t="s">
        <v>613</v>
      </c>
      <c r="C24" s="616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ht="12.75">
      <c r="A25" s="557" t="s">
        <v>614</v>
      </c>
      <c r="B25" s="557" t="s">
        <v>615</v>
      </c>
      <c r="C25" s="616" t="str">
        <f ca="1">HYPERLINK(SUBSTITUTE(CELL("address",'KV_9.1.3.sz.mell'!A1),"'",""),SUBSTITUTE(MID(CELL("address",'KV_9.1.3.sz.mell'!A1),SEARCH("]",CELL("address",'KV_9.1.3.sz.mell'!A1),1)+1,LEN(CELL("address",'KV_9.1.3.sz.mell'!A1))-SEARCH("]",CELL("address",'KV_9.1.3.sz.mell'!A1),1)),"'",""))</f>
        <v>KV_9.1.3.sz.mell!$A$1</v>
      </c>
    </row>
    <row r="26" spans="1:3" ht="12.75">
      <c r="A26" s="557" t="s">
        <v>616</v>
      </c>
      <c r="B26" s="557" t="s">
        <v>767</v>
      </c>
      <c r="C26" s="616" t="str">
        <f ca="1">HYPERLINK(SUBSTITUTE(CELL("address",'KV_9.2.sz.mell'!A1),"'",""),SUBSTITUTE(MID(CELL("address",'KV_9.2.sz.mell'!A1),SEARCH("]",CELL("address",'KV_9.2.sz.mell'!A1),1)+1,LEN(CELL("address",'KV_9.2.sz.mell'!A1))-SEARCH("]",CELL("address",'KV_9.2.sz.mell'!A1),1)),"'",""))</f>
        <v>KV_9.2.sz.mell!$A$1</v>
      </c>
    </row>
    <row r="27" spans="1:3" ht="12.75">
      <c r="A27" s="557" t="s">
        <v>617</v>
      </c>
      <c r="B27" s="557" t="str">
        <f>CONCATENATE(ALAPADATOK!B13)</f>
        <v>Apáczai Csere János Művelődési Ház és Könyvtár</v>
      </c>
      <c r="C27" s="616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8" spans="1:3" ht="12.75">
      <c r="A28" s="557" t="s">
        <v>618</v>
      </c>
      <c r="B28" s="557" t="str">
        <f>CONCATENATE(ALAPADATOK!B15)</f>
        <v>Ezüstkor Szociális Gondozó Központ</v>
      </c>
      <c r="C28" s="616" t="str">
        <f ca="1">HYPERLINK(SUBSTITUTE(CELL("address",'KV_9.4.sz.mell'!A1),"'",""),SUBSTITUTE(MID(CELL("address",'KV_9.4.sz.mell'!A1),SEARCH("]",CELL("address",'KV_9.4.sz.mell'!A1),1)+1,LEN(CELL("address",'KV_9.4.sz.mell'!A1))-SEARCH("]",CELL("address",'KV_9.4.sz.mell'!A1),1)),"'",""))</f>
        <v>KV_9.4.sz.mell!$A$1</v>
      </c>
    </row>
    <row r="29" spans="1:3" ht="12.75">
      <c r="A29" s="557" t="s">
        <v>625</v>
      </c>
      <c r="B29" s="557" t="str">
        <f>CONCATENATE(ALAPADATOK!B17)</f>
        <v>Solymári Óvoda-Bölcsőde</v>
      </c>
      <c r="C29" s="616" t="str">
        <f ca="1">HYPERLINK(SUBSTITUTE(CELL("address",'KV_9.5.sz.mell'!A1),"'",""),SUBSTITUTE(MID(CELL("address",'KV_9.5.sz.mell'!A1),SEARCH("]",CELL("address",'KV_9.5.sz.mell'!A1),1)+1,LEN(CELL("address",'KV_9.5.sz.mell'!A1))-SEARCH("]",CELL("address",'KV_9.5.sz.mell'!A1),1)),"'",""))</f>
        <v>KV_9.5.sz.mell!$A$1</v>
      </c>
    </row>
    <row r="30" spans="1:3" ht="12.75">
      <c r="A30" s="557" t="s">
        <v>626</v>
      </c>
      <c r="B30" s="557" t="s">
        <v>634</v>
      </c>
      <c r="C30" s="616" t="str">
        <f ca="1">HYPERLINK(SUBSTITUTE(CELL("address",'KV_10.sz.mell'!A1),"'",""),SUBSTITUTE(MID(CELL("address",'KV_10.sz.mell'!A1),SEARCH("]",CELL("address",'KV_10.sz.mell'!A1),1)+1,LEN(CELL("address",'KV_10.sz.mell'!A1))-SEARCH("]",CELL("address",'KV_10.sz.mell'!A1),1)),"'",""))</f>
        <v>KV_10.sz.mell!$A$1</v>
      </c>
    </row>
    <row r="31" spans="1:3" ht="12.75">
      <c r="A31" s="557" t="s">
        <v>627</v>
      </c>
      <c r="B31" s="557" t="str">
        <f>'KV_1.sz.tájékoztató_t.'!A3</f>
        <v>Tájékoztató a 2019. évi tény, 2020. évi várható és 2021. évi terv adatokról</v>
      </c>
      <c r="C31" s="616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32" spans="1:3" ht="25.5">
      <c r="A32" s="557" t="s">
        <v>628</v>
      </c>
      <c r="B32" s="617" t="s">
        <v>4</v>
      </c>
      <c r="C32" s="616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33" spans="1:3" ht="12.75">
      <c r="A33" s="557" t="s">
        <v>629</v>
      </c>
      <c r="B33" s="557" t="s">
        <v>635</v>
      </c>
      <c r="C33" s="616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34" spans="1:3" ht="12.75">
      <c r="A34" s="557" t="s">
        <v>630</v>
      </c>
      <c r="B34" s="557" t="str">
        <f>'KV_4.sz.tájékoztató_t.'!A2</f>
        <v>Előirányzat-felhasználási terv
2021. évre</v>
      </c>
      <c r="C34" s="616" t="str">
        <f ca="1">HYPERLINK(SUBSTITUTE(CELL("address",'KV_4.sz.tájékoztató_t.'!A1),"'",""),SUBSTITUTE(MID(CELL("address",'KV_4.sz.tájékoztató_t.'!A1),SEARCH("]",CELL("address",'KV_4.sz.tájékoztató_t.'!A1),1)+1,LEN(CELL("address",'KV_4.sz.tájékoztató_t.'!A1))-SEARCH("]",CELL("address",'KV_4.sz.tájékoztató_t.'!A1),1)),"'",""))</f>
        <v>KV_4.sz.tájékoztató_t.!$A$1</v>
      </c>
    </row>
    <row r="35" spans="1:3" ht="12.75">
      <c r="A35" s="557" t="s">
        <v>631</v>
      </c>
      <c r="B35" s="557" t="str">
        <f>'KV_5.sz.tájékoztató_t'!B1</f>
        <v>A 2021. évi általános működés és ágazati feladatok támogatásának alakulása jogcímenként</v>
      </c>
      <c r="C35" s="616" t="str">
        <f ca="1">HYPERLINK(SUBSTITUTE(CELL("address",'KV_5.sz.tájékoztató_t'!A1),"'",""),SUBSTITUTE(MID(CELL("address",'KV_5.sz.tájékoztató_t'!A1),SEARCH("]",CELL("address",'KV_5.sz.tájékoztató_t'!A1),1)+1,LEN(CELL("address",'KV_5.sz.tájékoztató_t'!A1))-SEARCH("]",CELL("address",'KV_5.sz.tájékoztató_t'!A1),1)),"'",""))</f>
        <v>KV_5.sz.tájékoztató_t!$A$1</v>
      </c>
    </row>
    <row r="36" spans="1:3" ht="12.75">
      <c r="A36" s="557" t="s">
        <v>632</v>
      </c>
      <c r="B36" s="557" t="str">
        <f>'KV_6.sz.tájékoztató_t.'!A2</f>
        <v>K I M U T A T Á S
a 2021. évben céljelleggel juttatott támogatásokról</v>
      </c>
      <c r="C36" s="616" t="str">
        <f ca="1">HYPERLINK(SUBSTITUTE(CELL("address",'KV_6.sz.tájékoztató_t.'!A1),"'",""),SUBSTITUTE(MID(CELL("address",'KV_6.sz.tájékoztató_t.'!A1),SEARCH("]",CELL("address",'KV_6.sz.tájékoztató_t.'!A1),1)+1,LEN(CELL("address",'KV_6.sz.tájékoztató_t.'!A1))-SEARCH("]",CELL("address",'KV_6.sz.tájékoztató_t.'!A1),1)),"'",""))</f>
        <v>KV_6.sz.tájékoztató_t.!$A$1</v>
      </c>
    </row>
    <row r="37" spans="1:3" ht="12.75">
      <c r="A37" s="557" t="s">
        <v>633</v>
      </c>
      <c r="B37" s="557" t="str">
        <f>LOWER('KV_7.sz.tájékoztató_t.'!A3)</f>
        <v>2021. évi költségvetési évet követő 3 év tervezett</v>
      </c>
      <c r="C37" s="616" t="str">
        <f ca="1">HYPERLINK(SUBSTITUTE(CELL("address",'KV_7.sz.tájékoztató_t.'!A1),"'",""),SUBSTITUTE(MID(CELL("address",'KV_7.sz.tájékoztató_t.'!A1),SEARCH("]",CELL("address",'KV_7.sz.tájékoztató_t.'!A1),1)+1,LEN(CELL("address",'KV_7.sz.tájékoztató_t.'!A1))-SEARCH("]",CELL("address",'KV_7.sz.tájékoztató_t.'!A1),1)),"'",""))</f>
        <v>KV_7.sz.tájékoztató_t.!$A$1</v>
      </c>
    </row>
    <row r="38" spans="1:3" ht="12.75">
      <c r="A38" s="557" t="s">
        <v>765</v>
      </c>
      <c r="B38" s="557" t="s">
        <v>734</v>
      </c>
      <c r="C38" s="859" t="s">
        <v>766</v>
      </c>
    </row>
    <row r="39" spans="1:3" ht="18.75">
      <c r="A39" s="727"/>
      <c r="B39" s="727"/>
      <c r="C39" s="727"/>
    </row>
    <row r="40" spans="1:3" ht="12.75">
      <c r="A40" s="557"/>
      <c r="B40" s="557"/>
      <c r="C40" s="557"/>
    </row>
    <row r="41" spans="1:3" ht="12.75">
      <c r="A41" s="557"/>
      <c r="B41" s="557"/>
      <c r="C41" s="557"/>
    </row>
    <row r="42" spans="1:3" ht="12.75">
      <c r="A42" s="557"/>
      <c r="B42" s="557"/>
      <c r="C42" s="557"/>
    </row>
    <row r="43" spans="1:3" ht="12.75">
      <c r="A43" s="557"/>
      <c r="B43" s="557"/>
      <c r="C43" s="557"/>
    </row>
    <row r="44" spans="1:3" ht="12.75">
      <c r="A44" s="557"/>
      <c r="B44" s="557"/>
      <c r="C44" s="557"/>
    </row>
    <row r="45" spans="1:3" ht="12.75">
      <c r="A45" s="557"/>
      <c r="B45" s="557"/>
      <c r="C45" s="557"/>
    </row>
    <row r="46" spans="1:3" ht="12.75">
      <c r="A46" s="557"/>
      <c r="B46" s="557"/>
      <c r="C46" s="557"/>
    </row>
    <row r="47" spans="1:3" ht="12.75">
      <c r="A47" s="557"/>
      <c r="B47" s="557"/>
      <c r="C47" s="557"/>
    </row>
    <row r="48" spans="1:3" ht="12.75">
      <c r="A48" s="557"/>
      <c r="B48" s="557"/>
      <c r="C48" s="557"/>
    </row>
    <row r="49" spans="1:3" ht="12.75">
      <c r="A49" s="557"/>
      <c r="B49" s="557"/>
      <c r="C49" s="557"/>
    </row>
    <row r="50" spans="1:3" ht="12.75">
      <c r="A50" s="557"/>
      <c r="B50" s="557"/>
      <c r="C50" s="557"/>
    </row>
    <row r="51" spans="1:3" ht="12.75">
      <c r="A51" s="557"/>
      <c r="B51" s="557"/>
      <c r="C51" s="557"/>
    </row>
    <row r="52" spans="1:3" ht="12.75">
      <c r="A52" s="557"/>
      <c r="B52" s="557"/>
      <c r="C52" s="557"/>
    </row>
    <row r="53" spans="1:3" ht="12.75">
      <c r="A53" s="557"/>
      <c r="B53" s="557"/>
      <c r="C53" s="557"/>
    </row>
    <row r="54" spans="1:3" ht="33.75" customHeight="1">
      <c r="A54" s="728"/>
      <c r="B54" s="729"/>
      <c r="C54" s="729"/>
    </row>
    <row r="55" spans="1:3" ht="12.75">
      <c r="A55" s="557"/>
      <c r="B55" s="557"/>
      <c r="C55" s="557"/>
    </row>
    <row r="56" spans="1:3" ht="12.75">
      <c r="A56" s="557"/>
      <c r="B56" s="557"/>
      <c r="C56" s="557"/>
    </row>
    <row r="57" spans="1:3" ht="12.75">
      <c r="A57" s="557"/>
      <c r="B57" s="557"/>
      <c r="C57" s="557"/>
    </row>
    <row r="58" spans="1:3" ht="12.75">
      <c r="A58" s="557"/>
      <c r="B58" s="557"/>
      <c r="C58" s="557"/>
    </row>
    <row r="59" spans="1:3" ht="12.75">
      <c r="A59" s="557"/>
      <c r="B59" s="557"/>
      <c r="C59" s="557"/>
    </row>
    <row r="60" spans="1:3" ht="12.75">
      <c r="A60" s="557"/>
      <c r="B60" s="557"/>
      <c r="C60" s="557"/>
    </row>
    <row r="61" spans="1:3" ht="12.75">
      <c r="A61" s="557"/>
      <c r="B61" s="557"/>
      <c r="C61" s="557"/>
    </row>
    <row r="62" spans="1:3" ht="12.75">
      <c r="A62" s="557"/>
      <c r="B62" s="557"/>
      <c r="C62" s="557"/>
    </row>
    <row r="63" spans="1:3" ht="12.75">
      <c r="A63" s="557"/>
      <c r="B63" s="557"/>
      <c r="C63" s="557"/>
    </row>
    <row r="64" spans="1:3" ht="12.75">
      <c r="A64" s="557"/>
      <c r="B64" s="557"/>
      <c r="C64" s="557"/>
    </row>
    <row r="65" spans="1:3" ht="12.75">
      <c r="A65" s="557"/>
      <c r="B65" s="557"/>
      <c r="C65" s="557"/>
    </row>
    <row r="66" spans="1:3" ht="12.75">
      <c r="A66" s="557"/>
      <c r="B66" s="557"/>
      <c r="C66" s="557"/>
    </row>
    <row r="67" spans="1:3" ht="12.75">
      <c r="A67" s="557"/>
      <c r="B67" s="557"/>
      <c r="C67" s="557"/>
    </row>
    <row r="68" spans="1:3" ht="12.75">
      <c r="A68" s="557"/>
      <c r="B68" s="557"/>
      <c r="C68" s="557"/>
    </row>
    <row r="69" spans="1:3" ht="12.75">
      <c r="A69" s="557"/>
      <c r="B69" s="557"/>
      <c r="C69" s="557"/>
    </row>
    <row r="70" spans="1:3" ht="12.75">
      <c r="A70" s="557"/>
      <c r="B70" s="557"/>
      <c r="C70" s="557"/>
    </row>
    <row r="71" spans="1:3" ht="12.75">
      <c r="A71" s="557"/>
      <c r="B71" s="557"/>
      <c r="C71" s="557"/>
    </row>
    <row r="72" spans="1:3" ht="12.75">
      <c r="A72" s="557"/>
      <c r="B72" s="557"/>
      <c r="C72" s="557"/>
    </row>
    <row r="74" spans="1:3" ht="18.75">
      <c r="A74" s="727"/>
      <c r="B74" s="727"/>
      <c r="C74" s="727"/>
    </row>
    <row r="96" spans="1:3" ht="18.75">
      <c r="A96" s="727"/>
      <c r="B96" s="727"/>
      <c r="C96" s="727"/>
    </row>
  </sheetData>
  <sheetProtection/>
  <mergeCells count="6">
    <mergeCell ref="A2:C2"/>
    <mergeCell ref="A6:C6"/>
    <mergeCell ref="A39:C39"/>
    <mergeCell ref="A54:C54"/>
    <mergeCell ref="A74:C74"/>
    <mergeCell ref="A96:C96"/>
  </mergeCells>
  <hyperlinks>
    <hyperlink ref="C38" location="KV_8.sz.tájékoztató_t.!A1" display="KV_8.sz.mell.!$A$1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33"/>
  <sheetViews>
    <sheetView zoomScale="120" zoomScaleNormal="120" zoomScaleSheetLayoutView="115" workbookViewId="0" topLeftCell="A1">
      <selection activeCell="C12" sqref="C12"/>
    </sheetView>
  </sheetViews>
  <sheetFormatPr defaultColWidth="9.00390625" defaultRowHeight="12.75"/>
  <cols>
    <col min="1" max="1" width="6.875" style="53" customWidth="1"/>
    <col min="2" max="2" width="55.125" style="175" customWidth="1"/>
    <col min="3" max="3" width="16.375" style="53" customWidth="1"/>
    <col min="4" max="4" width="55.125" style="53" customWidth="1"/>
    <col min="5" max="5" width="16.375" style="53" customWidth="1"/>
    <col min="6" max="6" width="4.875" style="53" customWidth="1"/>
    <col min="7" max="16384" width="9.375" style="53" customWidth="1"/>
  </cols>
  <sheetData>
    <row r="1" spans="2:6" ht="31.5">
      <c r="B1" s="294" t="s">
        <v>157</v>
      </c>
      <c r="C1" s="295"/>
      <c r="D1" s="295"/>
      <c r="E1" s="295"/>
      <c r="F1" s="746" t="str">
        <f>CONCATENATE("2.2. melléklet ",ALAPADATOK!A7," ",ALAPADATOK!B7," ",ALAPADATOK!C7," ",ALAPADATOK!D7," ",ALAPADATOK!E7," ",ALAPADATOK!F7," ",ALAPADATOK!G7," ",ALAPADATOK!H7)</f>
        <v>2.2. melléklet a … / 2021 ( … ) önkormányzati rendelethez</v>
      </c>
    </row>
    <row r="2" spans="5:6" ht="13.5" thickBot="1">
      <c r="E2" s="551" t="str">
        <f>CONCATENATE('KV_1.1.sz.mell.'!C7)</f>
        <v>Forintban!</v>
      </c>
      <c r="F2" s="746"/>
    </row>
    <row r="3" spans="1:6" ht="13.5" thickBot="1">
      <c r="A3" s="748" t="s">
        <v>69</v>
      </c>
      <c r="B3" s="296" t="s">
        <v>56</v>
      </c>
      <c r="C3" s="297"/>
      <c r="D3" s="296" t="s">
        <v>57</v>
      </c>
      <c r="E3" s="298"/>
      <c r="F3" s="746"/>
    </row>
    <row r="4" spans="1:6" s="299" customFormat="1" ht="24.75" thickBot="1">
      <c r="A4" s="749"/>
      <c r="B4" s="176" t="s">
        <v>61</v>
      </c>
      <c r="C4" s="177" t="str">
        <f>+'KV_2.1.sz.mell.'!C4</f>
        <v>2021. évi előirányzat</v>
      </c>
      <c r="D4" s="176" t="s">
        <v>61</v>
      </c>
      <c r="E4" s="50" t="str">
        <f>+'KV_2.1.sz.mell.'!C4</f>
        <v>2021. évi előirányzat</v>
      </c>
      <c r="F4" s="746"/>
    </row>
    <row r="5" spans="1:6" s="299" customFormat="1" ht="13.5" thickBot="1">
      <c r="A5" s="300"/>
      <c r="B5" s="301" t="s">
        <v>484</v>
      </c>
      <c r="C5" s="302" t="s">
        <v>485</v>
      </c>
      <c r="D5" s="301" t="s">
        <v>486</v>
      </c>
      <c r="E5" s="303" t="s">
        <v>488</v>
      </c>
      <c r="F5" s="746"/>
    </row>
    <row r="6" spans="1:6" ht="12.75" customHeight="1">
      <c r="A6" s="305" t="s">
        <v>18</v>
      </c>
      <c r="B6" s="306" t="s">
        <v>373</v>
      </c>
      <c r="C6" s="283">
        <f>'KV_1.1.sz.mell.'!C29</f>
        <v>63310137</v>
      </c>
      <c r="D6" s="306" t="s">
        <v>223</v>
      </c>
      <c r="E6" s="289">
        <f>'KV_1.1.sz.mell.'!C120</f>
        <v>171418086</v>
      </c>
      <c r="F6" s="746"/>
    </row>
    <row r="7" spans="1:6" ht="12.75">
      <c r="A7" s="307" t="s">
        <v>19</v>
      </c>
      <c r="B7" s="308" t="s">
        <v>374</v>
      </c>
      <c r="C7" s="283">
        <f>'KV_1.1.sz.mell.'!C30</f>
        <v>63310137</v>
      </c>
      <c r="D7" s="308" t="s">
        <v>379</v>
      </c>
      <c r="E7" s="289">
        <f>'KV_1.1.sz.mell.'!C121</f>
        <v>0</v>
      </c>
      <c r="F7" s="746"/>
    </row>
    <row r="8" spans="1:6" ht="12.75" customHeight="1">
      <c r="A8" s="307" t="s">
        <v>20</v>
      </c>
      <c r="B8" s="308" t="s">
        <v>10</v>
      </c>
      <c r="C8" s="284">
        <f>'KV_1.1.sz.mell.'!C51</f>
        <v>260000000</v>
      </c>
      <c r="D8" s="308" t="s">
        <v>185</v>
      </c>
      <c r="E8" s="289">
        <f>'KV_1.1.sz.mell.'!C122</f>
        <v>166839386</v>
      </c>
      <c r="F8" s="746"/>
    </row>
    <row r="9" spans="1:6" ht="12.75" customHeight="1">
      <c r="A9" s="307" t="s">
        <v>21</v>
      </c>
      <c r="B9" s="308" t="s">
        <v>375</v>
      </c>
      <c r="C9" s="284">
        <f>'KV_1.1.sz.mell.'!C62</f>
        <v>235500</v>
      </c>
      <c r="D9" s="308" t="s">
        <v>380</v>
      </c>
      <c r="E9" s="289">
        <f>'KV_1.1.sz.mell.'!C123</f>
        <v>63310137</v>
      </c>
      <c r="F9" s="746"/>
    </row>
    <row r="10" spans="1:6" ht="12.75" customHeight="1">
      <c r="A10" s="307" t="s">
        <v>22</v>
      </c>
      <c r="B10" s="308" t="s">
        <v>376</v>
      </c>
      <c r="C10" s="284"/>
      <c r="D10" s="308" t="s">
        <v>225</v>
      </c>
      <c r="E10" s="290"/>
      <c r="F10" s="746"/>
    </row>
    <row r="11" spans="1:6" ht="12.75" customHeight="1">
      <c r="A11" s="307" t="s">
        <v>23</v>
      </c>
      <c r="B11" s="308" t="s">
        <v>377</v>
      </c>
      <c r="C11" s="285"/>
      <c r="D11" s="406"/>
      <c r="E11" s="290"/>
      <c r="F11" s="746"/>
    </row>
    <row r="12" spans="1:6" ht="12.75" customHeight="1">
      <c r="A12" s="307" t="s">
        <v>24</v>
      </c>
      <c r="B12" s="44"/>
      <c r="C12" s="284"/>
      <c r="D12" s="406"/>
      <c r="E12" s="290"/>
      <c r="F12" s="746"/>
    </row>
    <row r="13" spans="1:6" ht="12.75" customHeight="1">
      <c r="A13" s="307" t="s">
        <v>25</v>
      </c>
      <c r="B13" s="44"/>
      <c r="C13" s="284"/>
      <c r="D13" s="407"/>
      <c r="E13" s="290"/>
      <c r="F13" s="746"/>
    </row>
    <row r="14" spans="1:6" ht="12.75" customHeight="1">
      <c r="A14" s="307" t="s">
        <v>26</v>
      </c>
      <c r="B14" s="404"/>
      <c r="C14" s="285"/>
      <c r="D14" s="406"/>
      <c r="E14" s="290"/>
      <c r="F14" s="746"/>
    </row>
    <row r="15" spans="1:6" ht="12.75">
      <c r="A15" s="307" t="s">
        <v>27</v>
      </c>
      <c r="B15" s="44"/>
      <c r="C15" s="285"/>
      <c r="D15" s="406"/>
      <c r="E15" s="290"/>
      <c r="F15" s="746"/>
    </row>
    <row r="16" spans="1:6" ht="12.75" customHeight="1" thickBot="1">
      <c r="A16" s="367" t="s">
        <v>28</v>
      </c>
      <c r="B16" s="405"/>
      <c r="C16" s="369"/>
      <c r="D16" s="368" t="s">
        <v>50</v>
      </c>
      <c r="E16" s="334"/>
      <c r="F16" s="746"/>
    </row>
    <row r="17" spans="1:6" ht="15.75" customHeight="1" thickBot="1">
      <c r="A17" s="310" t="s">
        <v>29</v>
      </c>
      <c r="B17" s="121" t="s">
        <v>387</v>
      </c>
      <c r="C17" s="287">
        <f>+C6+C8+C9+C11+C12+C13+C14+C15+C16</f>
        <v>323545637</v>
      </c>
      <c r="D17" s="121" t="s">
        <v>388</v>
      </c>
      <c r="E17" s="292">
        <f>+E6+E8+E10+E11+E12+E13+E14+E15+E16</f>
        <v>338257472</v>
      </c>
      <c r="F17" s="746"/>
    </row>
    <row r="18" spans="1:6" ht="12.75" customHeight="1">
      <c r="A18" s="305" t="s">
        <v>30</v>
      </c>
      <c r="B18" s="320" t="s">
        <v>240</v>
      </c>
      <c r="C18" s="327">
        <f>SUM(C19:C23)</f>
        <v>14711835</v>
      </c>
      <c r="D18" s="313" t="s">
        <v>189</v>
      </c>
      <c r="E18" s="75"/>
      <c r="F18" s="746"/>
    </row>
    <row r="19" spans="1:6" ht="12.75" customHeight="1">
      <c r="A19" s="307" t="s">
        <v>31</v>
      </c>
      <c r="B19" s="321" t="s">
        <v>229</v>
      </c>
      <c r="C19" s="77">
        <v>14711835</v>
      </c>
      <c r="D19" s="313" t="s">
        <v>192</v>
      </c>
      <c r="E19" s="78"/>
      <c r="F19" s="746"/>
    </row>
    <row r="20" spans="1:6" ht="12.75" customHeight="1">
      <c r="A20" s="305" t="s">
        <v>32</v>
      </c>
      <c r="B20" s="321" t="s">
        <v>230</v>
      </c>
      <c r="C20" s="77"/>
      <c r="D20" s="313" t="s">
        <v>154</v>
      </c>
      <c r="E20" s="78"/>
      <c r="F20" s="746"/>
    </row>
    <row r="21" spans="1:6" ht="12.75" customHeight="1">
      <c r="A21" s="307" t="s">
        <v>33</v>
      </c>
      <c r="B21" s="321" t="s">
        <v>231</v>
      </c>
      <c r="C21" s="77"/>
      <c r="D21" s="313" t="s">
        <v>155</v>
      </c>
      <c r="E21" s="78"/>
      <c r="F21" s="746"/>
    </row>
    <row r="22" spans="1:6" ht="12.75" customHeight="1">
      <c r="A22" s="305" t="s">
        <v>34</v>
      </c>
      <c r="B22" s="321" t="s">
        <v>232</v>
      </c>
      <c r="C22" s="77"/>
      <c r="D22" s="312" t="s">
        <v>228</v>
      </c>
      <c r="E22" s="78"/>
      <c r="F22" s="746"/>
    </row>
    <row r="23" spans="1:6" ht="12.75" customHeight="1">
      <c r="A23" s="307" t="s">
        <v>35</v>
      </c>
      <c r="B23" s="322" t="s">
        <v>233</v>
      </c>
      <c r="C23" s="77"/>
      <c r="D23" s="313" t="s">
        <v>193</v>
      </c>
      <c r="E23" s="78"/>
      <c r="F23" s="746"/>
    </row>
    <row r="24" spans="1:6" ht="12.75" customHeight="1">
      <c r="A24" s="305" t="s">
        <v>36</v>
      </c>
      <c r="B24" s="323" t="s">
        <v>234</v>
      </c>
      <c r="C24" s="315">
        <f>+C25+C26+C27+C28+C29</f>
        <v>0</v>
      </c>
      <c r="D24" s="324" t="s">
        <v>191</v>
      </c>
      <c r="E24" s="78"/>
      <c r="F24" s="746"/>
    </row>
    <row r="25" spans="1:6" ht="12.75" customHeight="1">
      <c r="A25" s="307" t="s">
        <v>37</v>
      </c>
      <c r="B25" s="322" t="s">
        <v>235</v>
      </c>
      <c r="C25" s="77"/>
      <c r="D25" s="324" t="s">
        <v>381</v>
      </c>
      <c r="E25" s="78"/>
      <c r="F25" s="746"/>
    </row>
    <row r="26" spans="1:6" ht="12.75" customHeight="1">
      <c r="A26" s="305" t="s">
        <v>38</v>
      </c>
      <c r="B26" s="322" t="s">
        <v>236</v>
      </c>
      <c r="C26" s="77"/>
      <c r="D26" s="319"/>
      <c r="E26" s="78"/>
      <c r="F26" s="746"/>
    </row>
    <row r="27" spans="1:6" ht="12.75" customHeight="1">
      <c r="A27" s="307" t="s">
        <v>39</v>
      </c>
      <c r="B27" s="321" t="s">
        <v>237</v>
      </c>
      <c r="C27" s="77"/>
      <c r="D27" s="117"/>
      <c r="E27" s="78"/>
      <c r="F27" s="746"/>
    </row>
    <row r="28" spans="1:6" ht="12.75" customHeight="1">
      <c r="A28" s="305" t="s">
        <v>40</v>
      </c>
      <c r="B28" s="325" t="s">
        <v>238</v>
      </c>
      <c r="C28" s="77"/>
      <c r="D28" s="44"/>
      <c r="E28" s="78"/>
      <c r="F28" s="746"/>
    </row>
    <row r="29" spans="1:6" ht="12.75" customHeight="1" thickBot="1">
      <c r="A29" s="307" t="s">
        <v>41</v>
      </c>
      <c r="B29" s="326" t="s">
        <v>239</v>
      </c>
      <c r="C29" s="77"/>
      <c r="D29" s="117"/>
      <c r="E29" s="78"/>
      <c r="F29" s="746"/>
    </row>
    <row r="30" spans="1:6" ht="21.75" customHeight="1" thickBot="1">
      <c r="A30" s="310" t="s">
        <v>42</v>
      </c>
      <c r="B30" s="121" t="s">
        <v>378</v>
      </c>
      <c r="C30" s="287">
        <f>+C18+C24</f>
        <v>14711835</v>
      </c>
      <c r="D30" s="121" t="s">
        <v>382</v>
      </c>
      <c r="E30" s="292">
        <f>SUM(E18:E29)</f>
        <v>0</v>
      </c>
      <c r="F30" s="746"/>
    </row>
    <row r="31" spans="1:6" ht="13.5" thickBot="1">
      <c r="A31" s="310" t="s">
        <v>43</v>
      </c>
      <c r="B31" s="316" t="s">
        <v>383</v>
      </c>
      <c r="C31" s="317">
        <f>+C17+C30</f>
        <v>338257472</v>
      </c>
      <c r="D31" s="316" t="s">
        <v>384</v>
      </c>
      <c r="E31" s="317">
        <f>+E17+E30</f>
        <v>338257472</v>
      </c>
      <c r="F31" s="746"/>
    </row>
    <row r="32" spans="1:6" ht="13.5" thickBot="1">
      <c r="A32" s="310" t="s">
        <v>44</v>
      </c>
      <c r="B32" s="316" t="s">
        <v>167</v>
      </c>
      <c r="C32" s="317">
        <f>IF(C17-E17&lt;0,E17-C17,"-")</f>
        <v>14711835</v>
      </c>
      <c r="D32" s="316" t="s">
        <v>168</v>
      </c>
      <c r="E32" s="317" t="str">
        <f>IF(C17-E17&gt;0,C17-E17,"-")</f>
        <v>-</v>
      </c>
      <c r="F32" s="746"/>
    </row>
    <row r="33" spans="1:6" ht="13.5" thickBot="1">
      <c r="A33" s="310" t="s">
        <v>45</v>
      </c>
      <c r="B33" s="316" t="s">
        <v>555</v>
      </c>
      <c r="C33" s="317" t="str">
        <f>IF(C31-E31&lt;0,E31-C31,"-")</f>
        <v>-</v>
      </c>
      <c r="D33" s="316" t="s">
        <v>556</v>
      </c>
      <c r="E33" s="317" t="str">
        <f>IF(C31-E31&gt;0,C31-E31,"-")</f>
        <v>-</v>
      </c>
      <c r="F33" s="746"/>
    </row>
  </sheetData>
  <sheetProtection sheet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="120" zoomScaleNormal="120" zoomScalePageLayoutView="0" workbookViewId="0" topLeftCell="A1">
      <selection activeCell="H21" sqref="H21"/>
    </sheetView>
  </sheetViews>
  <sheetFormatPr defaultColWidth="9.00390625" defaultRowHeight="12.75"/>
  <cols>
    <col min="1" max="1" width="46.375" style="0" customWidth="1"/>
    <col min="2" max="2" width="16.875" style="0" customWidth="1"/>
    <col min="3" max="3" width="66.125" style="0" customWidth="1"/>
    <col min="4" max="4" width="13.875" style="0" customWidth="1"/>
    <col min="5" max="5" width="17.625" style="0" customWidth="1"/>
  </cols>
  <sheetData>
    <row r="1" spans="1:5" ht="18.75">
      <c r="A1" s="122" t="s">
        <v>149</v>
      </c>
      <c r="E1" s="125" t="s">
        <v>153</v>
      </c>
    </row>
    <row r="3" spans="1:5" ht="12.75">
      <c r="A3" s="131"/>
      <c r="B3" s="132"/>
      <c r="C3" s="131"/>
      <c r="D3" s="134"/>
      <c r="E3" s="132"/>
    </row>
    <row r="4" spans="1:5" ht="15.75">
      <c r="A4" s="85" t="str">
        <f>+KV_ÖSSZEFÜGGÉSEK!A5</f>
        <v>2021. évi előirányzat BEVÉTELEK</v>
      </c>
      <c r="B4" s="133"/>
      <c r="C4" s="141"/>
      <c r="D4" s="134"/>
      <c r="E4" s="132"/>
    </row>
    <row r="5" spans="1:5" ht="12.75">
      <c r="A5" s="131"/>
      <c r="B5" s="132"/>
      <c r="C5" s="131"/>
      <c r="D5" s="134"/>
      <c r="E5" s="132"/>
    </row>
    <row r="6" spans="1:5" ht="12.75">
      <c r="A6" s="131" t="s">
        <v>535</v>
      </c>
      <c r="B6" s="132">
        <f>+'KV_1.1.sz.mell.'!C67</f>
        <v>1795733189</v>
      </c>
      <c r="C6" s="131" t="s">
        <v>478</v>
      </c>
      <c r="D6" s="134">
        <f>+'KV_2.1.sz.mell.'!C18+'KV_2.2.sz.mell.'!C17</f>
        <v>1795733189</v>
      </c>
      <c r="E6" s="132">
        <f aca="true" t="shared" si="0" ref="E6:E15">+B6-D6</f>
        <v>0</v>
      </c>
    </row>
    <row r="7" spans="1:5" ht="12.75">
      <c r="A7" s="131" t="s">
        <v>536</v>
      </c>
      <c r="B7" s="132">
        <f>+'KV_1.1.sz.mell.'!C91</f>
        <v>371820156</v>
      </c>
      <c r="C7" s="131" t="s">
        <v>479</v>
      </c>
      <c r="D7" s="134">
        <f>+'KV_2.1.sz.mell.'!C29+'KV_2.2.sz.mell.'!C30</f>
        <v>371820156</v>
      </c>
      <c r="E7" s="132">
        <f t="shared" si="0"/>
        <v>0</v>
      </c>
    </row>
    <row r="8" spans="1:5" ht="12.75">
      <c r="A8" s="131" t="s">
        <v>537</v>
      </c>
      <c r="B8" s="132">
        <f>+'KV_1.1.sz.mell.'!C92</f>
        <v>2167553345</v>
      </c>
      <c r="C8" s="131" t="s">
        <v>480</v>
      </c>
      <c r="D8" s="134">
        <f>+'KV_2.1.sz.mell.'!C30+'KV_2.2.sz.mell.'!C31</f>
        <v>2167553345</v>
      </c>
      <c r="E8" s="132">
        <f t="shared" si="0"/>
        <v>0</v>
      </c>
    </row>
    <row r="9" spans="1:5" ht="12.75">
      <c r="A9" s="131"/>
      <c r="B9" s="132"/>
      <c r="C9" s="131"/>
      <c r="D9" s="134"/>
      <c r="E9" s="132"/>
    </row>
    <row r="10" spans="1:5" ht="12.75">
      <c r="A10" s="131"/>
      <c r="B10" s="132"/>
      <c r="C10" s="131"/>
      <c r="D10" s="134"/>
      <c r="E10" s="132"/>
    </row>
    <row r="11" spans="1:5" ht="15.75">
      <c r="A11" s="85" t="str">
        <f>+KV_ÖSSZEFÜGGÉSEK!A12</f>
        <v>2021. évi előirányzat KIADÁSOK</v>
      </c>
      <c r="B11" s="133"/>
      <c r="C11" s="141"/>
      <c r="D11" s="134"/>
      <c r="E11" s="132"/>
    </row>
    <row r="12" spans="1:5" ht="12.75">
      <c r="A12" s="131"/>
      <c r="B12" s="132"/>
      <c r="C12" s="131"/>
      <c r="D12" s="134"/>
      <c r="E12" s="132"/>
    </row>
    <row r="13" spans="1:5" ht="12.75">
      <c r="A13" s="131" t="s">
        <v>538</v>
      </c>
      <c r="B13" s="132">
        <f>+'KV_1.1.sz.mell.'!C133</f>
        <v>2147655687</v>
      </c>
      <c r="C13" s="131" t="s">
        <v>481</v>
      </c>
      <c r="D13" s="134">
        <f>+'KV_2.1.sz.mell.'!E18+'KV_2.2.sz.mell.'!E17</f>
        <v>2147655687</v>
      </c>
      <c r="E13" s="132">
        <f t="shared" si="0"/>
        <v>0</v>
      </c>
    </row>
    <row r="14" spans="1:5" ht="12.75">
      <c r="A14" s="131" t="s">
        <v>539</v>
      </c>
      <c r="B14" s="132">
        <f>+'KV_1.1.sz.mell.'!C158</f>
        <v>19897658</v>
      </c>
      <c r="C14" s="131" t="s">
        <v>482</v>
      </c>
      <c r="D14" s="134">
        <f>+'KV_2.1.sz.mell.'!E29+'KV_2.2.sz.mell.'!E30</f>
        <v>19897658</v>
      </c>
      <c r="E14" s="132">
        <f t="shared" si="0"/>
        <v>0</v>
      </c>
    </row>
    <row r="15" spans="1:5" ht="12.75">
      <c r="A15" s="131" t="s">
        <v>540</v>
      </c>
      <c r="B15" s="132">
        <f>+'KV_1.1.sz.mell.'!C159</f>
        <v>2167553345</v>
      </c>
      <c r="C15" s="131" t="s">
        <v>483</v>
      </c>
      <c r="D15" s="134">
        <f>+'KV_2.1.sz.mell.'!E30+'KV_2.2.sz.mell.'!E31</f>
        <v>2167553345</v>
      </c>
      <c r="E15" s="132">
        <f t="shared" si="0"/>
        <v>0</v>
      </c>
    </row>
    <row r="16" spans="1:5" ht="12.75">
      <c r="A16" s="123"/>
      <c r="B16" s="123"/>
      <c r="C16" s="131"/>
      <c r="D16" s="134"/>
      <c r="E16" s="124"/>
    </row>
    <row r="17" spans="1:5" ht="12.75">
      <c r="A17" s="123"/>
      <c r="B17" s="123"/>
      <c r="C17" s="123"/>
      <c r="D17" s="123"/>
      <c r="E17" s="123"/>
    </row>
    <row r="18" spans="1:5" ht="12.75">
      <c r="A18" s="123"/>
      <c r="B18" s="123"/>
      <c r="C18" s="123"/>
      <c r="D18" s="123"/>
      <c r="E18" s="123"/>
    </row>
    <row r="19" spans="1:5" ht="12.75">
      <c r="A19" s="123"/>
      <c r="B19" s="123"/>
      <c r="C19" s="123"/>
      <c r="D19" s="123"/>
      <c r="E19" s="123"/>
    </row>
  </sheetData>
  <sheetProtection sheet="1"/>
  <conditionalFormatting sqref="E3:E15">
    <cfRule type="cellIs" priority="1" dxfId="6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14"/>
  <sheetViews>
    <sheetView zoomScale="120" zoomScaleNormal="120" workbookViewId="0" topLeftCell="A1">
      <selection activeCell="G19" sqref="G19"/>
    </sheetView>
  </sheetViews>
  <sheetFormatPr defaultColWidth="9.00390625" defaultRowHeight="12.75"/>
  <cols>
    <col min="1" max="1" width="5.625" style="144" customWidth="1"/>
    <col min="2" max="2" width="35.625" style="144" customWidth="1"/>
    <col min="3" max="7" width="14.00390625" style="144" customWidth="1"/>
    <col min="8" max="16384" width="9.375" style="144" customWidth="1"/>
  </cols>
  <sheetData>
    <row r="1" spans="1:7" ht="15">
      <c r="A1" s="628"/>
      <c r="B1" s="628"/>
      <c r="C1" s="628"/>
      <c r="D1" s="628"/>
      <c r="E1" s="628"/>
      <c r="F1" s="628"/>
      <c r="G1" s="628"/>
    </row>
    <row r="2" spans="1:7" ht="15">
      <c r="A2" s="628"/>
      <c r="B2" s="736" t="str">
        <f>CONCATENATE("3. melléklet ",ALAPADATOK!A7," ",ALAPADATOK!B7," ",ALAPADATOK!C7," ",ALAPADATOK!D7," ",ALAPADATOK!E7," ",ALAPADATOK!F7," ",ALAPADATOK!G7," ",ALAPADATOK!H7)</f>
        <v>3. melléklet a … / 2021 ( … ) önkormányzati rendelethez</v>
      </c>
      <c r="C2" s="736"/>
      <c r="D2" s="736"/>
      <c r="E2" s="736"/>
      <c r="F2" s="736"/>
      <c r="G2" s="736"/>
    </row>
    <row r="3" spans="1:7" ht="15">
      <c r="A3" s="628"/>
      <c r="B3" s="628"/>
      <c r="C3" s="628"/>
      <c r="D3" s="628"/>
      <c r="E3" s="628"/>
      <c r="F3" s="628"/>
      <c r="G3" s="628"/>
    </row>
    <row r="4" spans="1:7" ht="33" customHeight="1">
      <c r="A4" s="750" t="str">
        <f>CONCATENATE(PROPER(ALAPADATOK!A3)," adósságot keletkeztető ügyletekből és kezességvállalásokból fennálló kötelezettségei")</f>
        <v>Solymár Nagyközség Önkormányzata adósságot keletkeztető ügyletekből és kezességvállalásokból fennálló kötelezettségei</v>
      </c>
      <c r="B4" s="750"/>
      <c r="C4" s="750"/>
      <c r="D4" s="750"/>
      <c r="E4" s="750"/>
      <c r="F4" s="750"/>
      <c r="G4" s="750"/>
    </row>
    <row r="5" spans="1:8" ht="15.75" customHeight="1" thickBot="1">
      <c r="A5" s="629"/>
      <c r="B5" s="629"/>
      <c r="C5" s="751"/>
      <c r="D5" s="751"/>
      <c r="E5" s="758" t="str">
        <f>'KV_2.2.sz.mell.'!E2</f>
        <v>Forintban!</v>
      </c>
      <c r="F5" s="758"/>
      <c r="G5" s="758"/>
      <c r="H5" s="150"/>
    </row>
    <row r="6" spans="1:7" ht="63" customHeight="1">
      <c r="A6" s="754" t="s">
        <v>16</v>
      </c>
      <c r="B6" s="756" t="s">
        <v>195</v>
      </c>
      <c r="C6" s="759" t="s">
        <v>244</v>
      </c>
      <c r="D6" s="760"/>
      <c r="E6" s="760"/>
      <c r="F6" s="752"/>
      <c r="G6" s="752" t="s">
        <v>493</v>
      </c>
    </row>
    <row r="7" spans="1:7" ht="15.75" thickBot="1">
      <c r="A7" s="755"/>
      <c r="B7" s="757"/>
      <c r="C7" s="705">
        <f>+LEFT(KV_ÖSSZEFÜGGÉSEK!A5,4)+1</f>
        <v>2022</v>
      </c>
      <c r="D7" s="453">
        <f>+C7+1</f>
        <v>2023</v>
      </c>
      <c r="E7" s="453">
        <f>+D7+1</f>
        <v>2024</v>
      </c>
      <c r="F7" s="706" t="s">
        <v>685</v>
      </c>
      <c r="G7" s="753"/>
    </row>
    <row r="8" spans="1:7" ht="15.75" thickBot="1">
      <c r="A8" s="147"/>
      <c r="B8" s="697" t="s">
        <v>484</v>
      </c>
      <c r="C8" s="147" t="s">
        <v>485</v>
      </c>
      <c r="D8" s="148" t="s">
        <v>486</v>
      </c>
      <c r="E8" s="148" t="s">
        <v>488</v>
      </c>
      <c r="F8" s="149"/>
      <c r="G8" s="702" t="s">
        <v>487</v>
      </c>
    </row>
    <row r="9" spans="1:7" ht="15">
      <c r="A9" s="146" t="s">
        <v>18</v>
      </c>
      <c r="B9" s="698" t="s">
        <v>664</v>
      </c>
      <c r="C9" s="707">
        <v>16728564</v>
      </c>
      <c r="D9" s="493">
        <v>16728564</v>
      </c>
      <c r="E9" s="493">
        <v>16728564</v>
      </c>
      <c r="F9" s="708">
        <v>139404702</v>
      </c>
      <c r="G9" s="703">
        <f>SUM(C9:F9)</f>
        <v>189590394</v>
      </c>
    </row>
    <row r="10" spans="1:7" ht="15">
      <c r="A10" s="145" t="s">
        <v>19</v>
      </c>
      <c r="B10" s="699"/>
      <c r="C10" s="709"/>
      <c r="D10" s="494"/>
      <c r="E10" s="494"/>
      <c r="F10" s="710"/>
      <c r="G10" s="703">
        <f>SUM(C10:F10)</f>
        <v>0</v>
      </c>
    </row>
    <row r="11" spans="1:7" ht="15">
      <c r="A11" s="145" t="s">
        <v>20</v>
      </c>
      <c r="B11" s="699"/>
      <c r="C11" s="709"/>
      <c r="D11" s="494"/>
      <c r="E11" s="494"/>
      <c r="F11" s="710"/>
      <c r="G11" s="703">
        <f>SUM(C11:F11)</f>
        <v>0</v>
      </c>
    </row>
    <row r="12" spans="1:7" ht="15">
      <c r="A12" s="145" t="s">
        <v>21</v>
      </c>
      <c r="B12" s="699"/>
      <c r="C12" s="709"/>
      <c r="D12" s="494"/>
      <c r="E12" s="494"/>
      <c r="F12" s="710"/>
      <c r="G12" s="703">
        <f>SUM(C12:F12)</f>
        <v>0</v>
      </c>
    </row>
    <row r="13" spans="1:7" ht="15.75" thickBot="1">
      <c r="A13" s="151" t="s">
        <v>22</v>
      </c>
      <c r="B13" s="700"/>
      <c r="C13" s="711"/>
      <c r="D13" s="495"/>
      <c r="E13" s="495"/>
      <c r="F13" s="712"/>
      <c r="G13" s="703">
        <f>SUM(C13:F13)</f>
        <v>0</v>
      </c>
    </row>
    <row r="14" spans="1:7" s="441" customFormat="1" ht="15" thickBot="1">
      <c r="A14" s="440" t="s">
        <v>23</v>
      </c>
      <c r="B14" s="701" t="s">
        <v>196</v>
      </c>
      <c r="C14" s="713">
        <f>SUM(C9:C13)</f>
        <v>16728564</v>
      </c>
      <c r="D14" s="496">
        <f>SUM(D9:D13)</f>
        <v>16728564</v>
      </c>
      <c r="E14" s="496">
        <f>SUM(E9:E13)</f>
        <v>16728564</v>
      </c>
      <c r="F14" s="496">
        <f>SUM(F9:F13)</f>
        <v>139404702</v>
      </c>
      <c r="G14" s="704">
        <f>SUM(G9:G13)</f>
        <v>189590394</v>
      </c>
    </row>
  </sheetData>
  <sheetProtection/>
  <mergeCells count="8">
    <mergeCell ref="B2:G2"/>
    <mergeCell ref="A4:G4"/>
    <mergeCell ref="C5:D5"/>
    <mergeCell ref="G6:G7"/>
    <mergeCell ref="A6:A7"/>
    <mergeCell ref="B6:B7"/>
    <mergeCell ref="E5:G5"/>
    <mergeCell ref="C6:F6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D15"/>
  <sheetViews>
    <sheetView zoomScale="120" zoomScaleNormal="120" workbookViewId="0" topLeftCell="A1">
      <selection activeCell="C19" sqref="C19"/>
    </sheetView>
  </sheetViews>
  <sheetFormatPr defaultColWidth="9.00390625" defaultRowHeight="12.75"/>
  <cols>
    <col min="1" max="1" width="5.625" style="144" customWidth="1"/>
    <col min="2" max="2" width="68.625" style="144" customWidth="1"/>
    <col min="3" max="3" width="19.50390625" style="144" customWidth="1"/>
    <col min="4" max="16384" width="9.375" style="144" customWidth="1"/>
  </cols>
  <sheetData>
    <row r="1" spans="1:3" ht="15">
      <c r="A1" s="628"/>
      <c r="B1" s="628"/>
      <c r="C1" s="628"/>
    </row>
    <row r="2" spans="1:3" ht="15">
      <c r="A2" s="628"/>
      <c r="B2" s="736" t="str">
        <f>CONCATENATE("4. melléklet ",ALAPADATOK!A7," ",ALAPADATOK!B7," ",ALAPADATOK!C7," ",ALAPADATOK!D7," ",ALAPADATOK!E7," ",ALAPADATOK!F7," ",ALAPADATOK!G7," ",ALAPADATOK!H7)</f>
        <v>4. melléklet a … / 2021 ( … ) önkormányzati rendelethez</v>
      </c>
      <c r="C2" s="736"/>
    </row>
    <row r="3" spans="1:3" ht="15">
      <c r="A3" s="628"/>
      <c r="B3" s="628"/>
      <c r="C3" s="628"/>
    </row>
    <row r="4" spans="1:3" ht="54" customHeight="1">
      <c r="A4" s="761" t="str">
        <f>CONCATENATE(PROPER(ALAPADATOK!A3)," saját bevételeinek részletezése az adósságot keletkeztető ügyletből származó tárgyévi fizetési kötelezettség megállapításához")</f>
        <v>Solymár Nagyközség Önkormányzata saját bevételeinek részletezése az adósságot keletkeztető ügyletből származó tárgyévi fizetési kötelezettség megállapításához</v>
      </c>
      <c r="B4" s="761"/>
      <c r="C4" s="761"/>
    </row>
    <row r="5" spans="1:4" ht="15.75" customHeight="1" thickBot="1">
      <c r="A5" s="629"/>
      <c r="B5" s="629"/>
      <c r="C5" s="630" t="str">
        <f>'KV_2.2.sz.mell.'!E2</f>
        <v>Forintban!</v>
      </c>
      <c r="D5" s="150"/>
    </row>
    <row r="6" spans="1:3" ht="26.25" customHeight="1" thickBot="1">
      <c r="A6" s="631" t="s">
        <v>16</v>
      </c>
      <c r="B6" s="632" t="s">
        <v>194</v>
      </c>
      <c r="C6" s="633" t="str">
        <f>+'KV_1.1.sz.mell.'!C8</f>
        <v>2021. évi előirányzat</v>
      </c>
    </row>
    <row r="7" spans="1:3" ht="15.75" thickBot="1">
      <c r="A7" s="162"/>
      <c r="B7" s="488" t="s">
        <v>484</v>
      </c>
      <c r="C7" s="489" t="s">
        <v>485</v>
      </c>
    </row>
    <row r="8" spans="1:3" ht="15">
      <c r="A8" s="163" t="s">
        <v>18</v>
      </c>
      <c r="B8" s="331" t="s">
        <v>494</v>
      </c>
      <c r="C8" s="328">
        <f>'KV_1.1.sz.mell.'!C32+'KV_1.1.sz.mell.'!C33+'KV_1.1.sz.mell.'!C34+'KV_1.1.sz.mell.'!C35</f>
        <v>828000000</v>
      </c>
    </row>
    <row r="9" spans="1:3" ht="24.75">
      <c r="A9" s="164" t="s">
        <v>19</v>
      </c>
      <c r="B9" s="359" t="s">
        <v>241</v>
      </c>
      <c r="C9" s="329">
        <f>'KV_1.1.sz.mell.'!C53+'KV_1.1.sz.mell.'!C43</f>
        <v>282243200</v>
      </c>
    </row>
    <row r="10" spans="1:3" ht="15">
      <c r="A10" s="164" t="s">
        <v>20</v>
      </c>
      <c r="B10" s="360" t="s">
        <v>495</v>
      </c>
      <c r="C10" s="329"/>
    </row>
    <row r="11" spans="1:3" ht="24.75">
      <c r="A11" s="164" t="s">
        <v>21</v>
      </c>
      <c r="B11" s="360" t="s">
        <v>243</v>
      </c>
      <c r="C11" s="329"/>
    </row>
    <row r="12" spans="1:3" ht="15">
      <c r="A12" s="165" t="s">
        <v>22</v>
      </c>
      <c r="B12" s="360" t="s">
        <v>242</v>
      </c>
      <c r="C12" s="330">
        <f>'KV_1.1.sz.mell.'!C37+'KV_1.1.sz.mell.'!C38</f>
        <v>12000000</v>
      </c>
    </row>
    <row r="13" spans="1:3" ht="15.75" thickBot="1">
      <c r="A13" s="164" t="s">
        <v>23</v>
      </c>
      <c r="B13" s="361" t="s">
        <v>496</v>
      </c>
      <c r="C13" s="329"/>
    </row>
    <row r="14" spans="1:3" ht="15.75" thickBot="1">
      <c r="A14" s="762" t="s">
        <v>197</v>
      </c>
      <c r="B14" s="763"/>
      <c r="C14" s="166">
        <f>SUM(C8:C13)</f>
        <v>1122243200</v>
      </c>
    </row>
    <row r="15" spans="1:3" ht="23.25" customHeight="1">
      <c r="A15" s="764" t="s">
        <v>220</v>
      </c>
      <c r="B15" s="764"/>
      <c r="C15" s="764"/>
    </row>
  </sheetData>
  <sheetProtection sheet="1"/>
  <mergeCells count="4">
    <mergeCell ref="A4:C4"/>
    <mergeCell ref="A14:B14"/>
    <mergeCell ref="A15:C15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D15"/>
  <sheetViews>
    <sheetView zoomScale="120" zoomScaleNormal="120" workbookViewId="0" topLeftCell="A1">
      <selection activeCell="K20" sqref="K20"/>
    </sheetView>
  </sheetViews>
  <sheetFormatPr defaultColWidth="9.00390625" defaultRowHeight="12.75"/>
  <cols>
    <col min="1" max="1" width="5.625" style="144" customWidth="1"/>
    <col min="2" max="2" width="66.875" style="144" customWidth="1"/>
    <col min="3" max="3" width="27.00390625" style="144" customWidth="1"/>
    <col min="4" max="16384" width="9.375" style="144" customWidth="1"/>
  </cols>
  <sheetData>
    <row r="1" spans="1:3" ht="15">
      <c r="A1" s="628"/>
      <c r="B1" s="628"/>
      <c r="C1" s="628"/>
    </row>
    <row r="2" spans="1:3" ht="15">
      <c r="A2" s="628"/>
      <c r="B2" s="736" t="str">
        <f>CONCATENATE("5. melléklet ",ALAPADATOK!A7," ",ALAPADATOK!B7," ",ALAPADATOK!C7," ",ALAPADATOK!D7," ",ALAPADATOK!E7," ",ALAPADATOK!F7," ",ALAPADATOK!G7," ",ALAPADATOK!H7)</f>
        <v>5. melléklet a … / 2021 ( … ) önkormányzati rendelethez</v>
      </c>
      <c r="C2" s="736"/>
    </row>
    <row r="3" spans="1:3" ht="15">
      <c r="A3" s="628"/>
      <c r="B3" s="628"/>
      <c r="C3" s="628"/>
    </row>
    <row r="4" spans="1:3" ht="33" customHeight="1">
      <c r="A4" s="761" t="str">
        <f>CONCATENATE(PROPER(ALAPADATOK!A3)," ",ALAPADATOK!D7,". évi adósságot keletkeztető fejlesztési céljai")</f>
        <v>Solymár Nagyközség Önkormányzata 2021. évi adósságot keletkeztető fejlesztési céljai</v>
      </c>
      <c r="B4" s="761"/>
      <c r="C4" s="761"/>
    </row>
    <row r="5" spans="1:4" ht="15.75" customHeight="1" thickBot="1">
      <c r="A5" s="629"/>
      <c r="B5" s="629"/>
      <c r="C5" s="630" t="str">
        <f>'KV_4.sz.mell.'!C5</f>
        <v>Forintban!</v>
      </c>
      <c r="D5" s="150"/>
    </row>
    <row r="6" spans="1:3" ht="26.25" customHeight="1" thickBot="1">
      <c r="A6" s="631" t="s">
        <v>16</v>
      </c>
      <c r="B6" s="632" t="s">
        <v>198</v>
      </c>
      <c r="C6" s="633" t="s">
        <v>219</v>
      </c>
    </row>
    <row r="7" spans="1:3" ht="15.75" thickBot="1">
      <c r="A7" s="162"/>
      <c r="B7" s="488" t="s">
        <v>484</v>
      </c>
      <c r="C7" s="489" t="s">
        <v>485</v>
      </c>
    </row>
    <row r="8" spans="1:3" ht="15">
      <c r="A8" s="163" t="s">
        <v>18</v>
      </c>
      <c r="B8" s="170"/>
      <c r="C8" s="167"/>
    </row>
    <row r="9" spans="1:3" ht="15">
      <c r="A9" s="164" t="s">
        <v>19</v>
      </c>
      <c r="B9" s="171"/>
      <c r="C9" s="168"/>
    </row>
    <row r="10" spans="1:3" ht="15.75" thickBot="1">
      <c r="A10" s="165" t="s">
        <v>20</v>
      </c>
      <c r="B10" s="172"/>
      <c r="C10" s="169"/>
    </row>
    <row r="11" spans="1:3" s="441" customFormat="1" ht="17.25" customHeight="1" thickBot="1">
      <c r="A11" s="442" t="s">
        <v>21</v>
      </c>
      <c r="B11" s="126" t="s">
        <v>654</v>
      </c>
      <c r="C11" s="166">
        <f>SUM(C8:C10)</f>
        <v>0</v>
      </c>
    </row>
    <row r="12" spans="1:3" ht="24.75" customHeight="1">
      <c r="A12" s="765" t="s">
        <v>653</v>
      </c>
      <c r="B12" s="765"/>
      <c r="C12" s="765"/>
    </row>
    <row r="15" ht="15.75">
      <c r="B15" s="120"/>
    </row>
  </sheetData>
  <sheetProtection sheet="1"/>
  <mergeCells count="3">
    <mergeCell ref="A4:C4"/>
    <mergeCell ref="B2:C2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F24"/>
  <sheetViews>
    <sheetView zoomScale="120" zoomScaleNormal="120" workbookViewId="0" topLeftCell="A1">
      <selection activeCell="K21" sqref="K21"/>
    </sheetView>
  </sheetViews>
  <sheetFormatPr defaultColWidth="9.00390625" defaultRowHeight="12.75"/>
  <cols>
    <col min="1" max="1" width="47.125" style="41" customWidth="1"/>
    <col min="2" max="2" width="15.625" style="40" customWidth="1"/>
    <col min="3" max="3" width="16.375" style="40" customWidth="1"/>
    <col min="4" max="4" width="18.00390625" style="40" customWidth="1"/>
    <col min="5" max="5" width="16.625" style="40" customWidth="1"/>
    <col min="6" max="6" width="18.875" style="53" customWidth="1"/>
    <col min="7" max="8" width="12.875" style="40" customWidth="1"/>
    <col min="9" max="9" width="13.875" style="40" customWidth="1"/>
    <col min="10" max="16384" width="9.375" style="40" customWidth="1"/>
  </cols>
  <sheetData>
    <row r="1" spans="1:6" ht="12.75">
      <c r="A1" s="606"/>
      <c r="B1" s="593"/>
      <c r="C1" s="593"/>
      <c r="D1" s="593"/>
      <c r="E1" s="593"/>
      <c r="F1" s="593"/>
    </row>
    <row r="2" spans="1:6" ht="18" customHeight="1">
      <c r="A2" s="606"/>
      <c r="B2" s="767" t="str">
        <f>CONCATENATE("6. melléklet ",ALAPADATOK!A7," ",ALAPADATOK!B7," ",ALAPADATOK!C7," ",ALAPADATOK!D7," ",ALAPADATOK!E7," ",ALAPADATOK!F7," ",ALAPADATOK!G7," ",ALAPADATOK!H7)</f>
        <v>6. melléklet a … / 2021 ( … ) önkormányzati rendelethez</v>
      </c>
      <c r="C2" s="768"/>
      <c r="D2" s="768"/>
      <c r="E2" s="768"/>
      <c r="F2" s="768"/>
    </row>
    <row r="3" spans="1:6" ht="12.75">
      <c r="A3" s="606"/>
      <c r="B3" s="593"/>
      <c r="C3" s="593"/>
      <c r="D3" s="593"/>
      <c r="E3" s="593"/>
      <c r="F3" s="593"/>
    </row>
    <row r="4" spans="1:6" ht="25.5" customHeight="1">
      <c r="A4" s="766" t="s">
        <v>0</v>
      </c>
      <c r="B4" s="766"/>
      <c r="C4" s="766"/>
      <c r="D4" s="766"/>
      <c r="E4" s="766"/>
      <c r="F4" s="766"/>
    </row>
    <row r="5" spans="1:6" ht="16.5" customHeight="1" thickBot="1">
      <c r="A5" s="606"/>
      <c r="B5" s="593"/>
      <c r="C5" s="593"/>
      <c r="D5" s="593"/>
      <c r="E5" s="593"/>
      <c r="F5" s="607" t="str">
        <f>'KV_5.sz.mell.'!C5</f>
        <v>Forintban!</v>
      </c>
    </row>
    <row r="6" spans="1:6" s="43" customFormat="1" ht="44.25" customHeight="1" thickBot="1">
      <c r="A6" s="608" t="s">
        <v>64</v>
      </c>
      <c r="B6" s="609" t="s">
        <v>65</v>
      </c>
      <c r="C6" s="609" t="s">
        <v>66</v>
      </c>
      <c r="D6" s="609" t="str">
        <f>+CONCATENATE("Felhasználás   ",LEFT(KV_ÖSSZEFÜGGÉSEK!A5,4)-1,". XII. 31-ig")</f>
        <v>Felhasználás   2020. XII. 31-ig</v>
      </c>
      <c r="E6" s="609" t="str">
        <f>+'KV_1.1.sz.mell.'!C8</f>
        <v>2021. évi előirányzat</v>
      </c>
      <c r="F6" s="610" t="str">
        <f>+CONCATENATE(LEFT(KV_ÖSSZEFÜGGÉSEK!A5,4),". utáni szükséglet")</f>
        <v>2021. utáni szükséglet</v>
      </c>
    </row>
    <row r="7" spans="1:6" s="53" customFormat="1" ht="12" customHeight="1" thickBot="1">
      <c r="A7" s="51" t="s">
        <v>484</v>
      </c>
      <c r="B7" s="52" t="s">
        <v>485</v>
      </c>
      <c r="C7" s="52" t="s">
        <v>486</v>
      </c>
      <c r="D7" s="52" t="s">
        <v>488</v>
      </c>
      <c r="E7" s="52" t="s">
        <v>487</v>
      </c>
      <c r="F7" s="491" t="s">
        <v>552</v>
      </c>
    </row>
    <row r="8" spans="1:6" ht="15.75" customHeight="1">
      <c r="A8" s="443" t="s">
        <v>668</v>
      </c>
      <c r="B8" s="25">
        <v>5715000</v>
      </c>
      <c r="C8" s="444" t="s">
        <v>669</v>
      </c>
      <c r="D8" s="25"/>
      <c r="E8" s="25">
        <v>5715000</v>
      </c>
      <c r="F8" s="54">
        <f aca="true" t="shared" si="0" ref="F8:F23">B8-D8-E8</f>
        <v>0</v>
      </c>
    </row>
    <row r="9" spans="1:6" ht="15.75" customHeight="1">
      <c r="A9" s="443" t="s">
        <v>670</v>
      </c>
      <c r="B9" s="25">
        <v>939800</v>
      </c>
      <c r="C9" s="444" t="s">
        <v>669</v>
      </c>
      <c r="D9" s="25"/>
      <c r="E9" s="25">
        <v>939800</v>
      </c>
      <c r="F9" s="54">
        <f t="shared" si="0"/>
        <v>0</v>
      </c>
    </row>
    <row r="10" spans="1:6" ht="15.75" customHeight="1">
      <c r="A10" s="443" t="s">
        <v>671</v>
      </c>
      <c r="B10" s="25">
        <v>420370</v>
      </c>
      <c r="C10" s="444" t="s">
        <v>669</v>
      </c>
      <c r="D10" s="25"/>
      <c r="E10" s="25">
        <v>420370</v>
      </c>
      <c r="F10" s="54">
        <f t="shared" si="0"/>
        <v>0</v>
      </c>
    </row>
    <row r="11" spans="1:6" ht="15.75" customHeight="1">
      <c r="A11" s="696" t="s">
        <v>673</v>
      </c>
      <c r="B11" s="25">
        <v>552450</v>
      </c>
      <c r="C11" s="444" t="s">
        <v>669</v>
      </c>
      <c r="D11" s="25"/>
      <c r="E11" s="25">
        <v>552450</v>
      </c>
      <c r="F11" s="54">
        <f t="shared" si="0"/>
        <v>0</v>
      </c>
    </row>
    <row r="12" spans="1:6" ht="15.75" customHeight="1">
      <c r="A12" s="443" t="s">
        <v>675</v>
      </c>
      <c r="B12" s="25">
        <v>14928299</v>
      </c>
      <c r="C12" s="444" t="s">
        <v>669</v>
      </c>
      <c r="D12" s="25"/>
      <c r="E12" s="25">
        <v>14928299</v>
      </c>
      <c r="F12" s="54">
        <f t="shared" si="0"/>
        <v>0</v>
      </c>
    </row>
    <row r="13" spans="1:6" ht="15.75" customHeight="1">
      <c r="A13" s="696" t="s">
        <v>680</v>
      </c>
      <c r="B13" s="25">
        <v>15072360</v>
      </c>
      <c r="C13" s="444" t="s">
        <v>669</v>
      </c>
      <c r="D13" s="25"/>
      <c r="E13" s="25">
        <v>15072360</v>
      </c>
      <c r="F13" s="54">
        <f t="shared" si="0"/>
        <v>0</v>
      </c>
    </row>
    <row r="14" spans="1:6" ht="15.75" customHeight="1">
      <c r="A14" s="443" t="s">
        <v>681</v>
      </c>
      <c r="B14" s="25">
        <v>122637431</v>
      </c>
      <c r="C14" s="444" t="s">
        <v>669</v>
      </c>
      <c r="D14" s="25"/>
      <c r="E14" s="25">
        <v>122637431</v>
      </c>
      <c r="F14" s="54">
        <f t="shared" si="0"/>
        <v>0</v>
      </c>
    </row>
    <row r="15" spans="1:6" ht="15.75" customHeight="1">
      <c r="A15" s="443" t="s">
        <v>676</v>
      </c>
      <c r="B15" s="25">
        <v>200742770</v>
      </c>
      <c r="C15" s="444" t="s">
        <v>677</v>
      </c>
      <c r="D15" s="25"/>
      <c r="E15" s="25">
        <v>11152376</v>
      </c>
      <c r="F15" s="54">
        <f>B15-D15-E15</f>
        <v>189590394</v>
      </c>
    </row>
    <row r="16" spans="1:6" ht="15.75" customHeight="1">
      <c r="A16" s="443"/>
      <c r="B16" s="25"/>
      <c r="C16" s="444"/>
      <c r="D16" s="25"/>
      <c r="E16" s="25"/>
      <c r="F16" s="54">
        <f t="shared" si="0"/>
        <v>0</v>
      </c>
    </row>
    <row r="17" spans="1:6" ht="15.75" customHeight="1">
      <c r="A17" s="443"/>
      <c r="B17" s="25"/>
      <c r="C17" s="444"/>
      <c r="D17" s="25"/>
      <c r="E17" s="25"/>
      <c r="F17" s="54">
        <f t="shared" si="0"/>
        <v>0</v>
      </c>
    </row>
    <row r="18" spans="1:6" ht="15.75" customHeight="1">
      <c r="A18" s="443"/>
      <c r="B18" s="25"/>
      <c r="C18" s="444"/>
      <c r="D18" s="25"/>
      <c r="E18" s="25"/>
      <c r="F18" s="54">
        <f t="shared" si="0"/>
        <v>0</v>
      </c>
    </row>
    <row r="19" spans="1:6" ht="15.75" customHeight="1">
      <c r="A19" s="443"/>
      <c r="B19" s="25"/>
      <c r="C19" s="444"/>
      <c r="D19" s="25"/>
      <c r="E19" s="25"/>
      <c r="F19" s="54">
        <f t="shared" si="0"/>
        <v>0</v>
      </c>
    </row>
    <row r="20" spans="1:6" ht="15.75" customHeight="1">
      <c r="A20" s="443"/>
      <c r="B20" s="25"/>
      <c r="C20" s="444"/>
      <c r="D20" s="25"/>
      <c r="E20" s="25"/>
      <c r="F20" s="54">
        <f t="shared" si="0"/>
        <v>0</v>
      </c>
    </row>
    <row r="21" spans="1:6" ht="15.75" customHeight="1">
      <c r="A21" s="443"/>
      <c r="B21" s="25"/>
      <c r="C21" s="444"/>
      <c r="D21" s="25"/>
      <c r="E21" s="25"/>
      <c r="F21" s="54">
        <f t="shared" si="0"/>
        <v>0</v>
      </c>
    </row>
    <row r="22" spans="1:6" ht="15.75" customHeight="1">
      <c r="A22" s="443"/>
      <c r="B22" s="25"/>
      <c r="C22" s="444"/>
      <c r="D22" s="25"/>
      <c r="E22" s="25"/>
      <c r="F22" s="54">
        <f t="shared" si="0"/>
        <v>0</v>
      </c>
    </row>
    <row r="23" spans="1:6" ht="15.75" customHeight="1" thickBot="1">
      <c r="A23" s="55"/>
      <c r="B23" s="26"/>
      <c r="C23" s="445"/>
      <c r="D23" s="26"/>
      <c r="E23" s="26"/>
      <c r="F23" s="56">
        <f t="shared" si="0"/>
        <v>0</v>
      </c>
    </row>
    <row r="24" spans="1:6" s="59" customFormat="1" ht="18" customHeight="1" thickBot="1">
      <c r="A24" s="178" t="s">
        <v>63</v>
      </c>
      <c r="B24" s="57">
        <f>SUM(B8:B23)</f>
        <v>361008480</v>
      </c>
      <c r="C24" s="114"/>
      <c r="D24" s="57">
        <f>SUM(D8:D23)</f>
        <v>0</v>
      </c>
      <c r="E24" s="57">
        <f>SUM(E8:E23)</f>
        <v>171418086</v>
      </c>
      <c r="F24" s="58">
        <f>SUM(F8:F23)</f>
        <v>189590394</v>
      </c>
    </row>
  </sheetData>
  <sheetProtection/>
  <mergeCells count="2">
    <mergeCell ref="A4:F4"/>
    <mergeCell ref="B2:F2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25"/>
  <sheetViews>
    <sheetView zoomScale="120" zoomScaleNormal="120" workbookViewId="0" topLeftCell="A1">
      <selection activeCell="A15" sqref="A15"/>
    </sheetView>
  </sheetViews>
  <sheetFormatPr defaultColWidth="9.00390625" defaultRowHeight="12.75"/>
  <cols>
    <col min="1" max="1" width="60.625" style="41" customWidth="1"/>
    <col min="2" max="2" width="15.625" style="40" customWidth="1"/>
    <col min="3" max="3" width="16.375" style="40" customWidth="1"/>
    <col min="4" max="4" width="18.00390625" style="40" customWidth="1"/>
    <col min="5" max="5" width="16.625" style="40" customWidth="1"/>
    <col min="6" max="6" width="18.875" style="40" customWidth="1"/>
    <col min="7" max="8" width="12.875" style="40" customWidth="1"/>
    <col min="9" max="9" width="13.875" style="40" customWidth="1"/>
    <col min="10" max="16384" width="9.375" style="40" customWidth="1"/>
  </cols>
  <sheetData>
    <row r="1" spans="1:6" ht="12.75">
      <c r="A1" s="606"/>
      <c r="B1" s="593"/>
      <c r="C1" s="593"/>
      <c r="D1" s="593"/>
      <c r="E1" s="593"/>
      <c r="F1" s="593"/>
    </row>
    <row r="2" spans="1:6" ht="21" customHeight="1">
      <c r="A2" s="606"/>
      <c r="B2" s="767" t="str">
        <f>CONCATENATE("7. melléklet ",ALAPADATOK!A7," ",ALAPADATOK!B7," ",ALAPADATOK!C7," ",ALAPADATOK!D7," ",ALAPADATOK!E7," ",ALAPADATOK!F7," ",ALAPADATOK!G7," ",ALAPADATOK!H7)</f>
        <v>7. melléklet a … / 2021 ( … ) önkormányzati rendelethez</v>
      </c>
      <c r="C2" s="767"/>
      <c r="D2" s="767"/>
      <c r="E2" s="767"/>
      <c r="F2" s="767"/>
    </row>
    <row r="3" spans="1:6" ht="12.75">
      <c r="A3" s="606"/>
      <c r="B3" s="593"/>
      <c r="C3" s="593"/>
      <c r="D3" s="593"/>
      <c r="E3" s="593"/>
      <c r="F3" s="593"/>
    </row>
    <row r="4" spans="1:6" ht="24.75" customHeight="1">
      <c r="A4" s="766" t="s">
        <v>1</v>
      </c>
      <c r="B4" s="766"/>
      <c r="C4" s="766"/>
      <c r="D4" s="766"/>
      <c r="E4" s="766"/>
      <c r="F4" s="766"/>
    </row>
    <row r="5" spans="1:6" ht="23.25" customHeight="1" thickBot="1">
      <c r="A5" s="606"/>
      <c r="B5" s="593"/>
      <c r="C5" s="593"/>
      <c r="D5" s="593"/>
      <c r="E5" s="593"/>
      <c r="F5" s="607" t="str">
        <f>'KV_6.sz.mell.'!F5</f>
        <v>Forintban!</v>
      </c>
    </row>
    <row r="6" spans="1:6" s="43" customFormat="1" ht="48.75" customHeight="1" thickBot="1">
      <c r="A6" s="608" t="s">
        <v>67</v>
      </c>
      <c r="B6" s="609" t="s">
        <v>65</v>
      </c>
      <c r="C6" s="609" t="s">
        <v>66</v>
      </c>
      <c r="D6" s="609" t="str">
        <f>+'KV_6.sz.mell.'!D6</f>
        <v>Felhasználás   2020. XII. 31-ig</v>
      </c>
      <c r="E6" s="609" t="str">
        <f>+'KV_6.sz.mell.'!E6</f>
        <v>2021. évi előirányzat</v>
      </c>
      <c r="F6" s="611" t="str">
        <f>+CONCATENATE(LEFT(KV_ÖSSZEFÜGGÉSEK!A5,4),". utáni szükséglet ",CHAR(10),"")</f>
        <v>2021. utáni szükséglet 
</v>
      </c>
    </row>
    <row r="7" spans="1:6" s="53" customFormat="1" ht="15" customHeight="1" thickBot="1">
      <c r="A7" s="51" t="s">
        <v>484</v>
      </c>
      <c r="B7" s="52" t="s">
        <v>485</v>
      </c>
      <c r="C7" s="52" t="s">
        <v>486</v>
      </c>
      <c r="D7" s="52" t="s">
        <v>488</v>
      </c>
      <c r="E7" s="52" t="s">
        <v>487</v>
      </c>
      <c r="F7" s="492" t="s">
        <v>552</v>
      </c>
    </row>
    <row r="8" spans="1:6" ht="15.75" customHeight="1">
      <c r="A8" s="60" t="s">
        <v>672</v>
      </c>
      <c r="B8" s="61">
        <v>889000</v>
      </c>
      <c r="C8" s="446" t="s">
        <v>669</v>
      </c>
      <c r="D8" s="61"/>
      <c r="E8" s="61">
        <v>889000</v>
      </c>
      <c r="F8" s="62">
        <f aca="true" t="shared" si="0" ref="F8:F24">B8-D8-E8</f>
        <v>0</v>
      </c>
    </row>
    <row r="9" spans="1:6" ht="15.75" customHeight="1">
      <c r="A9" s="60" t="s">
        <v>674</v>
      </c>
      <c r="B9" s="61">
        <v>6054090</v>
      </c>
      <c r="C9" s="446" t="s">
        <v>669</v>
      </c>
      <c r="D9" s="61"/>
      <c r="E9" s="61">
        <v>6054090</v>
      </c>
      <c r="F9" s="62">
        <f t="shared" si="0"/>
        <v>0</v>
      </c>
    </row>
    <row r="10" spans="1:6" ht="15.75" customHeight="1">
      <c r="A10" s="60" t="s">
        <v>678</v>
      </c>
      <c r="B10" s="61">
        <v>23558500</v>
      </c>
      <c r="C10" s="446" t="s">
        <v>669</v>
      </c>
      <c r="D10" s="61"/>
      <c r="E10" s="61">
        <v>23558500</v>
      </c>
      <c r="F10" s="62">
        <f t="shared" si="0"/>
        <v>0</v>
      </c>
    </row>
    <row r="11" spans="1:6" ht="15.75" customHeight="1">
      <c r="A11" s="60" t="s">
        <v>679</v>
      </c>
      <c r="B11" s="61">
        <v>103310138</v>
      </c>
      <c r="C11" s="446" t="s">
        <v>669</v>
      </c>
      <c r="D11" s="61"/>
      <c r="E11" s="61">
        <v>103310138</v>
      </c>
      <c r="F11" s="62">
        <f t="shared" si="0"/>
        <v>0</v>
      </c>
    </row>
    <row r="12" spans="1:6" ht="15.75" customHeight="1">
      <c r="A12" s="60" t="s">
        <v>682</v>
      </c>
      <c r="B12" s="61">
        <v>635000</v>
      </c>
      <c r="C12" s="446" t="s">
        <v>669</v>
      </c>
      <c r="D12" s="61"/>
      <c r="E12" s="61">
        <v>635000</v>
      </c>
      <c r="F12" s="62">
        <f t="shared" si="0"/>
        <v>0</v>
      </c>
    </row>
    <row r="13" spans="1:6" ht="15.75" customHeight="1">
      <c r="A13" s="60" t="s">
        <v>683</v>
      </c>
      <c r="B13" s="61">
        <v>32392658</v>
      </c>
      <c r="C13" s="446" t="s">
        <v>669</v>
      </c>
      <c r="D13" s="61"/>
      <c r="E13" s="61">
        <v>32392658</v>
      </c>
      <c r="F13" s="62">
        <f t="shared" si="0"/>
        <v>0</v>
      </c>
    </row>
    <row r="14" spans="1:6" ht="15.75" customHeight="1">
      <c r="A14" s="60"/>
      <c r="B14" s="61"/>
      <c r="C14" s="446"/>
      <c r="D14" s="61"/>
      <c r="E14" s="61"/>
      <c r="F14" s="62">
        <f t="shared" si="0"/>
        <v>0</v>
      </c>
    </row>
    <row r="15" spans="1:6" ht="15.75" customHeight="1">
      <c r="A15" s="60"/>
      <c r="B15" s="61"/>
      <c r="C15" s="446"/>
      <c r="D15" s="61"/>
      <c r="E15" s="61"/>
      <c r="F15" s="62">
        <f t="shared" si="0"/>
        <v>0</v>
      </c>
    </row>
    <row r="16" spans="1:6" ht="15.75" customHeight="1">
      <c r="A16" s="60"/>
      <c r="B16" s="61"/>
      <c r="C16" s="446"/>
      <c r="D16" s="61"/>
      <c r="E16" s="61"/>
      <c r="F16" s="62">
        <f t="shared" si="0"/>
        <v>0</v>
      </c>
    </row>
    <row r="17" spans="1:6" ht="15.75" customHeight="1">
      <c r="A17" s="60"/>
      <c r="B17" s="61"/>
      <c r="C17" s="446"/>
      <c r="D17" s="61"/>
      <c r="E17" s="61"/>
      <c r="F17" s="62">
        <f t="shared" si="0"/>
        <v>0</v>
      </c>
    </row>
    <row r="18" spans="1:6" ht="15.75" customHeight="1">
      <c r="A18" s="60"/>
      <c r="B18" s="61"/>
      <c r="C18" s="446"/>
      <c r="D18" s="61"/>
      <c r="E18" s="61"/>
      <c r="F18" s="62">
        <f t="shared" si="0"/>
        <v>0</v>
      </c>
    </row>
    <row r="19" spans="1:6" ht="15.75" customHeight="1">
      <c r="A19" s="60"/>
      <c r="B19" s="61"/>
      <c r="C19" s="446"/>
      <c r="D19" s="61"/>
      <c r="E19" s="61"/>
      <c r="F19" s="62">
        <f t="shared" si="0"/>
        <v>0</v>
      </c>
    </row>
    <row r="20" spans="1:6" ht="15.75" customHeight="1">
      <c r="A20" s="60"/>
      <c r="B20" s="61"/>
      <c r="C20" s="446"/>
      <c r="D20" s="61"/>
      <c r="E20" s="61"/>
      <c r="F20" s="62">
        <f t="shared" si="0"/>
        <v>0</v>
      </c>
    </row>
    <row r="21" spans="1:6" ht="15.75" customHeight="1">
      <c r="A21" s="60"/>
      <c r="B21" s="61"/>
      <c r="C21" s="446"/>
      <c r="D21" s="61"/>
      <c r="E21" s="61"/>
      <c r="F21" s="62">
        <f t="shared" si="0"/>
        <v>0</v>
      </c>
    </row>
    <row r="22" spans="1:6" ht="15.75" customHeight="1">
      <c r="A22" s="60"/>
      <c r="B22" s="61"/>
      <c r="C22" s="446"/>
      <c r="D22" s="61"/>
      <c r="E22" s="61"/>
      <c r="F22" s="62">
        <f t="shared" si="0"/>
        <v>0</v>
      </c>
    </row>
    <row r="23" spans="1:6" ht="15.75" customHeight="1">
      <c r="A23" s="60"/>
      <c r="B23" s="61"/>
      <c r="C23" s="446"/>
      <c r="D23" s="61"/>
      <c r="E23" s="61"/>
      <c r="F23" s="62">
        <f t="shared" si="0"/>
        <v>0</v>
      </c>
    </row>
    <row r="24" spans="1:6" ht="15.75" customHeight="1" thickBot="1">
      <c r="A24" s="63"/>
      <c r="B24" s="64"/>
      <c r="C24" s="447"/>
      <c r="D24" s="64"/>
      <c r="E24" s="64"/>
      <c r="F24" s="65">
        <f t="shared" si="0"/>
        <v>0</v>
      </c>
    </row>
    <row r="25" spans="1:6" s="59" customFormat="1" ht="18" customHeight="1" thickBot="1">
      <c r="A25" s="178" t="s">
        <v>63</v>
      </c>
      <c r="B25" s="179">
        <f>SUM(B8:B24)</f>
        <v>166839386</v>
      </c>
      <c r="C25" s="115"/>
      <c r="D25" s="179">
        <f>SUM(D8:D24)</f>
        <v>0</v>
      </c>
      <c r="E25" s="179">
        <f>SUM(E8:E24)</f>
        <v>166839386</v>
      </c>
      <c r="F25" s="66">
        <f>SUM(F8:F24)</f>
        <v>0</v>
      </c>
    </row>
  </sheetData>
  <sheetProtection sheet="1"/>
  <mergeCells count="2">
    <mergeCell ref="A4:F4"/>
    <mergeCell ref="B2:F2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F32"/>
  <sheetViews>
    <sheetView zoomScale="120" zoomScaleNormal="120" workbookViewId="0" topLeftCell="A1">
      <selection activeCell="D41" sqref="D41"/>
    </sheetView>
  </sheetViews>
  <sheetFormatPr defaultColWidth="9.00390625" defaultRowHeight="12.75"/>
  <cols>
    <col min="1" max="1" width="38.625" style="45" customWidth="1"/>
    <col min="2" max="4" width="24.875" style="45" customWidth="1"/>
    <col min="5" max="5" width="26.875" style="45" customWidth="1"/>
    <col min="6" max="6" width="5.00390625" style="45" bestFit="1" customWidth="1"/>
    <col min="7" max="16384" width="9.375" style="45" customWidth="1"/>
  </cols>
  <sheetData>
    <row r="1" ht="12.75">
      <c r="F1" s="769" t="str">
        <f>CONCATENATE("8. melléklet ",ALAPADATOK!A7," ",ALAPADATOK!B7," ",ALAPADATOK!C7," ",ALAPADATOK!D7," ",ALAPADATOK!E7," ",ALAPADATOK!F7," ",ALAPADATOK!G7," ",ALAPADATOK!H7)</f>
        <v>8. melléklet a … / 2021 ( … ) önkormányzati rendelethez</v>
      </c>
    </row>
    <row r="2" spans="1:6" ht="15.75">
      <c r="A2" s="782" t="s">
        <v>646</v>
      </c>
      <c r="B2" s="782"/>
      <c r="C2" s="782"/>
      <c r="D2" s="782"/>
      <c r="E2" s="782"/>
      <c r="F2" s="769"/>
    </row>
    <row r="3" spans="1:6" ht="14.25" thickBot="1">
      <c r="A3" s="662"/>
      <c r="B3" s="662"/>
      <c r="C3" s="662"/>
      <c r="D3" s="662"/>
      <c r="E3" s="663" t="str">
        <f>'KV_7.sz.mell.'!F5</f>
        <v>Forintban!</v>
      </c>
      <c r="F3" s="769"/>
    </row>
    <row r="4" spans="1:6" ht="13.5" thickBot="1">
      <c r="A4" s="783" t="s">
        <v>137</v>
      </c>
      <c r="B4" s="784"/>
      <c r="C4" s="784"/>
      <c r="D4" s="784"/>
      <c r="E4" s="665" t="s">
        <v>55</v>
      </c>
      <c r="F4" s="769"/>
    </row>
    <row r="5" spans="1:6" ht="12.75">
      <c r="A5" s="785"/>
      <c r="B5" s="786"/>
      <c r="C5" s="786"/>
      <c r="D5" s="786"/>
      <c r="E5" s="666"/>
      <c r="F5" s="769"/>
    </row>
    <row r="6" spans="1:6" ht="13.5" thickBot="1">
      <c r="A6" s="787"/>
      <c r="B6" s="788"/>
      <c r="C6" s="788"/>
      <c r="D6" s="788"/>
      <c r="E6" s="667"/>
      <c r="F6" s="769"/>
    </row>
    <row r="7" spans="1:6" ht="13.5" customHeight="1" thickBot="1">
      <c r="A7" s="789" t="s">
        <v>647</v>
      </c>
      <c r="B7" s="790"/>
      <c r="C7" s="790"/>
      <c r="D7" s="790"/>
      <c r="E7" s="668">
        <f>SUM(E5:E6)</f>
        <v>0</v>
      </c>
      <c r="F7" s="769"/>
    </row>
    <row r="8" spans="1:6" ht="13.5" customHeight="1">
      <c r="A8" s="671"/>
      <c r="B8" s="671"/>
      <c r="C8" s="671"/>
      <c r="D8" s="671"/>
      <c r="E8" s="672"/>
      <c r="F8" s="769"/>
    </row>
    <row r="9" spans="1:6" ht="15.75">
      <c r="A9" s="792" t="s">
        <v>636</v>
      </c>
      <c r="B9" s="792"/>
      <c r="C9" s="792"/>
      <c r="D9" s="792"/>
      <c r="E9" s="792"/>
      <c r="F9" s="769"/>
    </row>
    <row r="10" spans="1:6" ht="15.75">
      <c r="A10" s="776" t="s">
        <v>655</v>
      </c>
      <c r="B10" s="777"/>
      <c r="C10" s="777"/>
      <c r="D10" s="777"/>
      <c r="E10" s="777"/>
      <c r="F10" s="769"/>
    </row>
    <row r="11" spans="1:6" ht="14.25" customHeight="1">
      <c r="A11" s="793" t="s">
        <v>648</v>
      </c>
      <c r="B11" s="793"/>
      <c r="C11" s="794" t="s">
        <v>704</v>
      </c>
      <c r="D11" s="795"/>
      <c r="E11" s="795"/>
      <c r="F11" s="769"/>
    </row>
    <row r="12" spans="1:6" ht="15.75" thickBot="1">
      <c r="A12" s="648"/>
      <c r="B12" s="648"/>
      <c r="C12" s="648"/>
      <c r="D12" s="648"/>
      <c r="E12" s="687" t="str">
        <f>$E$3</f>
        <v>Forintban!</v>
      </c>
      <c r="F12" s="769"/>
    </row>
    <row r="13" spans="1:6" ht="13.5" customHeight="1" thickBot="1">
      <c r="A13" s="796" t="s">
        <v>131</v>
      </c>
      <c r="B13" s="770" t="s">
        <v>643</v>
      </c>
      <c r="C13" s="771"/>
      <c r="D13" s="771"/>
      <c r="E13" s="772"/>
      <c r="F13" s="769"/>
    </row>
    <row r="14" spans="1:6" ht="13.5" customHeight="1" thickBot="1">
      <c r="A14" s="797"/>
      <c r="B14" s="773" t="s">
        <v>656</v>
      </c>
      <c r="C14" s="778" t="s">
        <v>644</v>
      </c>
      <c r="D14" s="779"/>
      <c r="E14" s="780"/>
      <c r="F14" s="769"/>
    </row>
    <row r="15" spans="1:6" ht="12.75" customHeight="1">
      <c r="A15" s="797"/>
      <c r="B15" s="774"/>
      <c r="C15" s="773" t="str">
        <f>CONCATENATE(TARTALOMJEGYZÉK!$A$1,". előtti tervezett forrás, kiadás")</f>
        <v>2021. előtti tervezett forrás, kiadás</v>
      </c>
      <c r="D15" s="773" t="str">
        <f>CONCATENATE(TARTALOMJEGYZÉK!$A$1,". évi eredeti előirányzat")</f>
        <v>2021. évi eredeti előirányzat</v>
      </c>
      <c r="E15" s="773" t="str">
        <f>CONCATENATE(TARTALOMJEGYZÉK!$A$1,". év utáni tervezett forrás, kiadás")</f>
        <v>2021. év utáni tervezett forrás, kiadás</v>
      </c>
      <c r="F15" s="769"/>
    </row>
    <row r="16" spans="1:6" ht="13.5" thickBot="1">
      <c r="A16" s="798"/>
      <c r="B16" s="775"/>
      <c r="C16" s="781"/>
      <c r="D16" s="781"/>
      <c r="E16" s="775"/>
      <c r="F16" s="769"/>
    </row>
    <row r="17" spans="1:6" ht="13.5" thickBot="1">
      <c r="A17" s="649" t="s">
        <v>484</v>
      </c>
      <c r="B17" s="650" t="s">
        <v>645</v>
      </c>
      <c r="C17" s="651" t="s">
        <v>486</v>
      </c>
      <c r="D17" s="652" t="s">
        <v>488</v>
      </c>
      <c r="E17" s="653" t="s">
        <v>487</v>
      </c>
      <c r="F17" s="769"/>
    </row>
    <row r="18" spans="1:6" ht="12.75">
      <c r="A18" s="654" t="s">
        <v>132</v>
      </c>
      <c r="B18" s="674">
        <f>C18+D18+E18</f>
        <v>40000001</v>
      </c>
      <c r="C18" s="675"/>
      <c r="D18" s="675">
        <v>40000001</v>
      </c>
      <c r="E18" s="676"/>
      <c r="F18" s="769"/>
    </row>
    <row r="19" spans="1:6" ht="12.75">
      <c r="A19" s="655" t="s">
        <v>143</v>
      </c>
      <c r="B19" s="677">
        <f aca="true" t="shared" si="0" ref="B19:B29">C19+D19+E19</f>
        <v>0</v>
      </c>
      <c r="C19" s="678"/>
      <c r="D19" s="678"/>
      <c r="E19" s="678"/>
      <c r="F19" s="769"/>
    </row>
    <row r="20" spans="1:6" ht="12.75">
      <c r="A20" s="656" t="s">
        <v>133</v>
      </c>
      <c r="B20" s="679">
        <f t="shared" si="0"/>
        <v>63310137</v>
      </c>
      <c r="C20" s="680"/>
      <c r="D20" s="680">
        <v>63310137</v>
      </c>
      <c r="E20" s="680"/>
      <c r="F20" s="769"/>
    </row>
    <row r="21" spans="1:6" ht="12.75">
      <c r="A21" s="656" t="s">
        <v>145</v>
      </c>
      <c r="B21" s="679">
        <f t="shared" si="0"/>
        <v>0</v>
      </c>
      <c r="C21" s="680"/>
      <c r="D21" s="680"/>
      <c r="E21" s="680"/>
      <c r="F21" s="769"/>
    </row>
    <row r="22" spans="1:6" ht="12.75">
      <c r="A22" s="656" t="s">
        <v>134</v>
      </c>
      <c r="B22" s="679">
        <f t="shared" si="0"/>
        <v>0</v>
      </c>
      <c r="C22" s="680"/>
      <c r="D22" s="680"/>
      <c r="E22" s="680"/>
      <c r="F22" s="769"/>
    </row>
    <row r="23" spans="1:6" ht="13.5" thickBot="1">
      <c r="A23" s="656" t="s">
        <v>135</v>
      </c>
      <c r="B23" s="679">
        <f t="shared" si="0"/>
        <v>0</v>
      </c>
      <c r="C23" s="680"/>
      <c r="D23" s="680"/>
      <c r="E23" s="680"/>
      <c r="F23" s="769"/>
    </row>
    <row r="24" spans="1:6" ht="13.5" thickBot="1">
      <c r="A24" s="657" t="s">
        <v>136</v>
      </c>
      <c r="B24" s="681">
        <f>B18+SUM(B20:B23)</f>
        <v>103310138</v>
      </c>
      <c r="C24" s="682">
        <f>C18+SUM(C20:C23)</f>
        <v>0</v>
      </c>
      <c r="D24" s="682">
        <f>D18+SUM(D20:D23)</f>
        <v>103310138</v>
      </c>
      <c r="E24" s="683">
        <f>E18+SUM(E20:E23)</f>
        <v>0</v>
      </c>
      <c r="F24" s="769"/>
    </row>
    <row r="25" spans="1:6" ht="12.75">
      <c r="A25" s="658" t="s">
        <v>139</v>
      </c>
      <c r="B25" s="674">
        <f t="shared" si="0"/>
        <v>0</v>
      </c>
      <c r="C25" s="675"/>
      <c r="D25" s="675"/>
      <c r="E25" s="676"/>
      <c r="F25" s="769"/>
    </row>
    <row r="26" spans="1:6" ht="12.75">
      <c r="A26" s="659" t="s">
        <v>140</v>
      </c>
      <c r="B26" s="679">
        <f t="shared" si="0"/>
        <v>103310138</v>
      </c>
      <c r="C26" s="680"/>
      <c r="D26" s="680">
        <v>103310138</v>
      </c>
      <c r="E26" s="680"/>
      <c r="F26" s="769"/>
    </row>
    <row r="27" spans="1:6" ht="12.75">
      <c r="A27" s="659" t="s">
        <v>141</v>
      </c>
      <c r="B27" s="679">
        <f t="shared" si="0"/>
        <v>0</v>
      </c>
      <c r="C27" s="680"/>
      <c r="D27" s="680"/>
      <c r="E27" s="680"/>
      <c r="F27" s="769"/>
    </row>
    <row r="28" spans="1:6" ht="12.75">
      <c r="A28" s="659" t="s">
        <v>142</v>
      </c>
      <c r="B28" s="679">
        <f t="shared" si="0"/>
        <v>0</v>
      </c>
      <c r="C28" s="680"/>
      <c r="D28" s="680"/>
      <c r="E28" s="680"/>
      <c r="F28" s="769"/>
    </row>
    <row r="29" spans="1:6" ht="13.5" thickBot="1">
      <c r="A29" s="660"/>
      <c r="B29" s="684">
        <f t="shared" si="0"/>
        <v>0</v>
      </c>
      <c r="C29" s="685"/>
      <c r="D29" s="685"/>
      <c r="E29" s="686"/>
      <c r="F29" s="769"/>
    </row>
    <row r="30" spans="1:6" ht="13.5" thickBot="1">
      <c r="A30" s="661" t="s">
        <v>110</v>
      </c>
      <c r="B30" s="681">
        <f>SUM(B25:B29)</f>
        <v>103310138</v>
      </c>
      <c r="C30" s="682">
        <f>SUM(C25:C29)</f>
        <v>0</v>
      </c>
      <c r="D30" s="682">
        <f>SUM(D25:D29)</f>
        <v>103310138</v>
      </c>
      <c r="E30" s="683">
        <f>SUM(E25:E29)</f>
        <v>0</v>
      </c>
      <c r="F30" s="769"/>
    </row>
    <row r="31" spans="1:6" ht="12.75" customHeight="1">
      <c r="A31" s="791" t="s">
        <v>649</v>
      </c>
      <c r="B31" s="791"/>
      <c r="C31" s="791"/>
      <c r="D31" s="791"/>
      <c r="E31" s="791"/>
      <c r="F31" s="769"/>
    </row>
    <row r="32" spans="1:6" ht="12.75">
      <c r="A32" s="664"/>
      <c r="B32" s="664"/>
      <c r="C32" s="664"/>
      <c r="D32" s="664"/>
      <c r="E32" s="664"/>
      <c r="F32" s="669"/>
    </row>
    <row r="37" ht="12.75" customHeight="1"/>
  </sheetData>
  <sheetProtection/>
  <mergeCells count="18">
    <mergeCell ref="A5:D5"/>
    <mergeCell ref="A6:D6"/>
    <mergeCell ref="A7:D7"/>
    <mergeCell ref="A31:E31"/>
    <mergeCell ref="A9:E9"/>
    <mergeCell ref="A11:B11"/>
    <mergeCell ref="C11:E11"/>
    <mergeCell ref="A13:A16"/>
    <mergeCell ref="F1:F31"/>
    <mergeCell ref="B13:E13"/>
    <mergeCell ref="B14:B16"/>
    <mergeCell ref="A10:E10"/>
    <mergeCell ref="C14:E14"/>
    <mergeCell ref="C15:C16"/>
    <mergeCell ref="D15:D16"/>
    <mergeCell ref="E15:E16"/>
    <mergeCell ref="A2:E2"/>
    <mergeCell ref="A4:D4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K179"/>
  <sheetViews>
    <sheetView zoomScale="120" zoomScaleNormal="120" zoomScaleSheetLayoutView="85" workbookViewId="0" topLeftCell="A1">
      <selection activeCell="D120" sqref="D120"/>
    </sheetView>
  </sheetViews>
  <sheetFormatPr defaultColWidth="9.00390625" defaultRowHeight="12.75"/>
  <cols>
    <col min="1" max="1" width="19.50390625" style="364" customWidth="1"/>
    <col min="2" max="2" width="72.00390625" style="365" customWidth="1"/>
    <col min="3" max="3" width="25.00390625" style="366" customWidth="1"/>
    <col min="4" max="16384" width="9.375" style="3" customWidth="1"/>
  </cols>
  <sheetData>
    <row r="1" spans="1:3" s="2" customFormat="1" ht="16.5" customHeight="1" thickBot="1">
      <c r="A1" s="564"/>
      <c r="B1" s="565"/>
      <c r="C1" s="561" t="str">
        <f>CONCATENATE("9.1. melléklet ",ALAPADATOK!A7," ",ALAPADATOK!B7," ",ALAPADATOK!C7," ",ALAPADATOK!D7," ",ALAPADATOK!E7," ",ALAPADATOK!F7," ",ALAPADATOK!G7," ",ALAPADATOK!H7)</f>
        <v>9.1. melléklet a … / 2021 ( … ) önkormányzati rendelethez</v>
      </c>
    </row>
    <row r="2" spans="1:3" s="86" customFormat="1" ht="21" customHeight="1">
      <c r="A2" s="566" t="s">
        <v>61</v>
      </c>
      <c r="B2" s="567" t="str">
        <f>CONCATENATE(ALAPADATOK!A3)</f>
        <v>SOLYMÁR NAGYKÖZSÉG ÖNKORMÁNYZATA</v>
      </c>
      <c r="C2" s="568" t="s">
        <v>54</v>
      </c>
    </row>
    <row r="3" spans="1:3" s="86" customFormat="1" ht="16.5" thickBot="1">
      <c r="A3" s="569" t="s">
        <v>199</v>
      </c>
      <c r="B3" s="570" t="s">
        <v>389</v>
      </c>
      <c r="C3" s="571" t="s">
        <v>54</v>
      </c>
    </row>
    <row r="4" spans="1:3" s="87" customFormat="1" ht="22.5" customHeight="1" thickBot="1">
      <c r="A4" s="572"/>
      <c r="B4" s="572"/>
      <c r="C4" s="573" t="str">
        <f>'KV_7.sz.mell.'!F5</f>
        <v>Forintban!</v>
      </c>
    </row>
    <row r="5" spans="1:3" ht="13.5" thickBot="1">
      <c r="A5" s="574" t="s">
        <v>201</v>
      </c>
      <c r="B5" s="575" t="s">
        <v>553</v>
      </c>
      <c r="C5" s="576" t="s">
        <v>55</v>
      </c>
    </row>
    <row r="6" spans="1:3" s="67" customFormat="1" ht="12.75" customHeight="1" thickBot="1">
      <c r="A6" s="577"/>
      <c r="B6" s="578" t="s">
        <v>484</v>
      </c>
      <c r="C6" s="579" t="s">
        <v>485</v>
      </c>
    </row>
    <row r="7" spans="1:3" s="67" customFormat="1" ht="15.75" customHeight="1" thickBot="1">
      <c r="A7" s="580"/>
      <c r="B7" s="581" t="s">
        <v>56</v>
      </c>
      <c r="C7" s="582"/>
    </row>
    <row r="8" spans="1:3" s="67" customFormat="1" ht="12" customHeight="1" thickBot="1">
      <c r="A8" s="31" t="s">
        <v>18</v>
      </c>
      <c r="B8" s="21" t="s">
        <v>245</v>
      </c>
      <c r="C8" s="272">
        <f>+C9+C10+C11+C12+C13+C14</f>
        <v>497441457</v>
      </c>
    </row>
    <row r="9" spans="1:3" s="88" customFormat="1" ht="12" customHeight="1">
      <c r="A9" s="408" t="s">
        <v>98</v>
      </c>
      <c r="B9" s="389" t="s">
        <v>246</v>
      </c>
      <c r="C9" s="275">
        <v>223720930</v>
      </c>
    </row>
    <row r="10" spans="1:3" s="89" customFormat="1" ht="12" customHeight="1">
      <c r="A10" s="409" t="s">
        <v>99</v>
      </c>
      <c r="B10" s="390" t="s">
        <v>247</v>
      </c>
      <c r="C10" s="274">
        <v>144810450</v>
      </c>
    </row>
    <row r="11" spans="1:3" s="89" customFormat="1" ht="12" customHeight="1">
      <c r="A11" s="409" t="s">
        <v>100</v>
      </c>
      <c r="B11" s="390" t="s">
        <v>541</v>
      </c>
      <c r="C11" s="274">
        <v>104408607</v>
      </c>
    </row>
    <row r="12" spans="1:3" s="89" customFormat="1" ht="12" customHeight="1">
      <c r="A12" s="409" t="s">
        <v>101</v>
      </c>
      <c r="B12" s="390" t="s">
        <v>249</v>
      </c>
      <c r="C12" s="274">
        <v>24501470</v>
      </c>
    </row>
    <row r="13" spans="1:3" s="89" customFormat="1" ht="12" customHeight="1">
      <c r="A13" s="409" t="s">
        <v>146</v>
      </c>
      <c r="B13" s="390" t="s">
        <v>497</v>
      </c>
      <c r="C13" s="274"/>
    </row>
    <row r="14" spans="1:3" s="88" customFormat="1" ht="12" customHeight="1" thickBot="1">
      <c r="A14" s="410" t="s">
        <v>102</v>
      </c>
      <c r="B14" s="524" t="s">
        <v>564</v>
      </c>
      <c r="C14" s="274"/>
    </row>
    <row r="15" spans="1:3" s="88" customFormat="1" ht="12" customHeight="1" thickBot="1">
      <c r="A15" s="31" t="s">
        <v>19</v>
      </c>
      <c r="B15" s="267" t="s">
        <v>250</v>
      </c>
      <c r="C15" s="272">
        <f>+C16+C17+C18+C19+C20</f>
        <v>44219839</v>
      </c>
    </row>
    <row r="16" spans="1:3" s="88" customFormat="1" ht="12" customHeight="1">
      <c r="A16" s="408" t="s">
        <v>104</v>
      </c>
      <c r="B16" s="389" t="s">
        <v>251</v>
      </c>
      <c r="C16" s="275"/>
    </row>
    <row r="17" spans="1:3" s="88" customFormat="1" ht="12" customHeight="1">
      <c r="A17" s="409" t="s">
        <v>105</v>
      </c>
      <c r="B17" s="390" t="s">
        <v>252</v>
      </c>
      <c r="C17" s="274"/>
    </row>
    <row r="18" spans="1:3" s="88" customFormat="1" ht="12" customHeight="1">
      <c r="A18" s="409" t="s">
        <v>106</v>
      </c>
      <c r="B18" s="390" t="s">
        <v>413</v>
      </c>
      <c r="C18" s="274"/>
    </row>
    <row r="19" spans="1:3" s="88" customFormat="1" ht="12" customHeight="1">
      <c r="A19" s="409" t="s">
        <v>107</v>
      </c>
      <c r="B19" s="390" t="s">
        <v>414</v>
      </c>
      <c r="C19" s="274"/>
    </row>
    <row r="20" spans="1:3" s="88" customFormat="1" ht="12" customHeight="1">
      <c r="A20" s="409" t="s">
        <v>108</v>
      </c>
      <c r="B20" s="390" t="s">
        <v>253</v>
      </c>
      <c r="C20" s="274">
        <v>44219839</v>
      </c>
    </row>
    <row r="21" spans="1:3" s="89" customFormat="1" ht="12" customHeight="1" thickBot="1">
      <c r="A21" s="410" t="s">
        <v>117</v>
      </c>
      <c r="B21" s="524" t="s">
        <v>565</v>
      </c>
      <c r="C21" s="276"/>
    </row>
    <row r="22" spans="1:3" s="89" customFormat="1" ht="12" customHeight="1" thickBot="1">
      <c r="A22" s="31" t="s">
        <v>20</v>
      </c>
      <c r="B22" s="21" t="s">
        <v>255</v>
      </c>
      <c r="C22" s="272">
        <f>+C23+C24+C25+C26+C27</f>
        <v>63310137</v>
      </c>
    </row>
    <row r="23" spans="1:3" s="89" customFormat="1" ht="12" customHeight="1">
      <c r="A23" s="408" t="s">
        <v>87</v>
      </c>
      <c r="B23" s="389" t="s">
        <v>256</v>
      </c>
      <c r="C23" s="275"/>
    </row>
    <row r="24" spans="1:3" s="88" customFormat="1" ht="12" customHeight="1">
      <c r="A24" s="409" t="s">
        <v>88</v>
      </c>
      <c r="B24" s="390" t="s">
        <v>257</v>
      </c>
      <c r="C24" s="274"/>
    </row>
    <row r="25" spans="1:3" s="89" customFormat="1" ht="12" customHeight="1">
      <c r="A25" s="409" t="s">
        <v>89</v>
      </c>
      <c r="B25" s="390" t="s">
        <v>415</v>
      </c>
      <c r="C25" s="274"/>
    </row>
    <row r="26" spans="1:3" s="89" customFormat="1" ht="12" customHeight="1">
      <c r="A26" s="409" t="s">
        <v>90</v>
      </c>
      <c r="B26" s="390" t="s">
        <v>416</v>
      </c>
      <c r="C26" s="274"/>
    </row>
    <row r="27" spans="1:3" s="89" customFormat="1" ht="12" customHeight="1">
      <c r="A27" s="409" t="s">
        <v>169</v>
      </c>
      <c r="B27" s="390" t="s">
        <v>258</v>
      </c>
      <c r="C27" s="274">
        <v>63310137</v>
      </c>
    </row>
    <row r="28" spans="1:3" s="89" customFormat="1" ht="12" customHeight="1" thickBot="1">
      <c r="A28" s="410" t="s">
        <v>170</v>
      </c>
      <c r="B28" s="524" t="s">
        <v>557</v>
      </c>
      <c r="C28" s="274">
        <v>63310137</v>
      </c>
    </row>
    <row r="29" spans="1:3" s="89" customFormat="1" ht="12" customHeight="1" thickBot="1">
      <c r="A29" s="31" t="s">
        <v>171</v>
      </c>
      <c r="B29" s="21" t="s">
        <v>550</v>
      </c>
      <c r="C29" s="278">
        <f>C30+C31+C32+C33+C34+C35+C36</f>
        <v>840000000</v>
      </c>
    </row>
    <row r="30" spans="1:3" s="89" customFormat="1" ht="12" customHeight="1">
      <c r="A30" s="408" t="s">
        <v>261</v>
      </c>
      <c r="B30" s="389" t="str">
        <f>'KV_1.1.sz.mell.'!B32</f>
        <v>Építményadó</v>
      </c>
      <c r="C30" s="275">
        <v>211000000</v>
      </c>
    </row>
    <row r="31" spans="1:3" s="89" customFormat="1" ht="12" customHeight="1">
      <c r="A31" s="409" t="s">
        <v>262</v>
      </c>
      <c r="B31" s="389" t="str">
        <f>'KV_1.1.sz.mell.'!B33</f>
        <v>Telekadó</v>
      </c>
      <c r="C31" s="274">
        <v>135000000</v>
      </c>
    </row>
    <row r="32" spans="1:3" s="89" customFormat="1" ht="12" customHeight="1">
      <c r="A32" s="409" t="s">
        <v>263</v>
      </c>
      <c r="B32" s="389" t="str">
        <f>'KV_1.1.sz.mell.'!B34</f>
        <v>Iparűzési adó</v>
      </c>
      <c r="C32" s="274">
        <v>480000000</v>
      </c>
    </row>
    <row r="33" spans="1:3" s="89" customFormat="1" ht="12" customHeight="1">
      <c r="A33" s="409" t="s">
        <v>264</v>
      </c>
      <c r="B33" s="389" t="str">
        <f>'KV_1.1.sz.mell.'!B35</f>
        <v>Talajterhelési díj</v>
      </c>
      <c r="C33" s="274">
        <v>2000000</v>
      </c>
    </row>
    <row r="34" spans="1:3" s="89" customFormat="1" ht="12" customHeight="1">
      <c r="A34" s="409" t="s">
        <v>543</v>
      </c>
      <c r="B34" s="389" t="str">
        <f>'KV_1.1.sz.mell.'!B36</f>
        <v>Gépjárműadó</v>
      </c>
      <c r="C34" s="274"/>
    </row>
    <row r="35" spans="1:3" s="89" customFormat="1" ht="12" customHeight="1">
      <c r="A35" s="409" t="s">
        <v>544</v>
      </c>
      <c r="B35" s="389" t="str">
        <f>'KV_1.1.sz.mell.'!B37</f>
        <v>Adópótlék, adóbírság</v>
      </c>
      <c r="C35" s="274">
        <v>4000000</v>
      </c>
    </row>
    <row r="36" spans="1:3" s="89" customFormat="1" ht="12" customHeight="1" thickBot="1">
      <c r="A36" s="410" t="s">
        <v>545</v>
      </c>
      <c r="B36" s="389" t="str">
        <f>'KV_1.1.sz.mell.'!B38</f>
        <v>Egyéb  közhatalmi bevételek</v>
      </c>
      <c r="C36" s="276">
        <v>8000000</v>
      </c>
    </row>
    <row r="37" spans="1:3" s="89" customFormat="1" ht="12" customHeight="1" thickBot="1">
      <c r="A37" s="31" t="s">
        <v>22</v>
      </c>
      <c r="B37" s="21" t="s">
        <v>425</v>
      </c>
      <c r="C37" s="272">
        <f>SUM(C38:C48)</f>
        <v>56859447</v>
      </c>
    </row>
    <row r="38" spans="1:3" s="89" customFormat="1" ht="12" customHeight="1">
      <c r="A38" s="408" t="s">
        <v>91</v>
      </c>
      <c r="B38" s="389" t="s">
        <v>268</v>
      </c>
      <c r="C38" s="275"/>
    </row>
    <row r="39" spans="1:3" s="89" customFormat="1" ht="12" customHeight="1">
      <c r="A39" s="409" t="s">
        <v>92</v>
      </c>
      <c r="B39" s="390" t="s">
        <v>269</v>
      </c>
      <c r="C39" s="274">
        <v>7844171</v>
      </c>
    </row>
    <row r="40" spans="1:3" s="89" customFormat="1" ht="12" customHeight="1">
      <c r="A40" s="409" t="s">
        <v>93</v>
      </c>
      <c r="B40" s="390" t="s">
        <v>270</v>
      </c>
      <c r="C40" s="274"/>
    </row>
    <row r="41" spans="1:3" s="89" customFormat="1" ht="12" customHeight="1">
      <c r="A41" s="409" t="s">
        <v>173</v>
      </c>
      <c r="B41" s="390" t="s">
        <v>271</v>
      </c>
      <c r="C41" s="274">
        <v>22243200</v>
      </c>
    </row>
    <row r="42" spans="1:3" s="89" customFormat="1" ht="12" customHeight="1">
      <c r="A42" s="409" t="s">
        <v>174</v>
      </c>
      <c r="B42" s="390" t="s">
        <v>272</v>
      </c>
      <c r="C42" s="274">
        <v>13358730</v>
      </c>
    </row>
    <row r="43" spans="1:3" s="89" customFormat="1" ht="12" customHeight="1">
      <c r="A43" s="409" t="s">
        <v>175</v>
      </c>
      <c r="B43" s="390" t="s">
        <v>273</v>
      </c>
      <c r="C43" s="274">
        <v>13413346</v>
      </c>
    </row>
    <row r="44" spans="1:3" s="89" customFormat="1" ht="12" customHeight="1">
      <c r="A44" s="409" t="s">
        <v>176</v>
      </c>
      <c r="B44" s="390" t="s">
        <v>274</v>
      </c>
      <c r="C44" s="274"/>
    </row>
    <row r="45" spans="1:3" s="89" customFormat="1" ht="12" customHeight="1">
      <c r="A45" s="409" t="s">
        <v>177</v>
      </c>
      <c r="B45" s="390" t="s">
        <v>549</v>
      </c>
      <c r="C45" s="274"/>
    </row>
    <row r="46" spans="1:3" s="89" customFormat="1" ht="12" customHeight="1">
      <c r="A46" s="409" t="s">
        <v>266</v>
      </c>
      <c r="B46" s="390" t="s">
        <v>276</v>
      </c>
      <c r="C46" s="277"/>
    </row>
    <row r="47" spans="1:3" s="89" customFormat="1" ht="12" customHeight="1">
      <c r="A47" s="410" t="s">
        <v>267</v>
      </c>
      <c r="B47" s="391" t="s">
        <v>427</v>
      </c>
      <c r="C47" s="377"/>
    </row>
    <row r="48" spans="1:3" s="89" customFormat="1" ht="12" customHeight="1" thickBot="1">
      <c r="A48" s="410" t="s">
        <v>426</v>
      </c>
      <c r="B48" s="524" t="s">
        <v>566</v>
      </c>
      <c r="C48" s="527"/>
    </row>
    <row r="49" spans="1:3" s="89" customFormat="1" ht="12" customHeight="1" thickBot="1">
      <c r="A49" s="31" t="s">
        <v>23</v>
      </c>
      <c r="B49" s="21" t="s">
        <v>278</v>
      </c>
      <c r="C49" s="272">
        <f>SUM(C50:C54)</f>
        <v>260000000</v>
      </c>
    </row>
    <row r="50" spans="1:3" s="89" customFormat="1" ht="12" customHeight="1">
      <c r="A50" s="408" t="s">
        <v>94</v>
      </c>
      <c r="B50" s="389" t="s">
        <v>282</v>
      </c>
      <c r="C50" s="433"/>
    </row>
    <row r="51" spans="1:3" s="89" customFormat="1" ht="12" customHeight="1">
      <c r="A51" s="409" t="s">
        <v>95</v>
      </c>
      <c r="B51" s="390" t="s">
        <v>283</v>
      </c>
      <c r="C51" s="277">
        <v>260000000</v>
      </c>
    </row>
    <row r="52" spans="1:3" s="89" customFormat="1" ht="12" customHeight="1">
      <c r="A52" s="409" t="s">
        <v>279</v>
      </c>
      <c r="B52" s="390" t="s">
        <v>284</v>
      </c>
      <c r="C52" s="277"/>
    </row>
    <row r="53" spans="1:3" s="89" customFormat="1" ht="12" customHeight="1">
      <c r="A53" s="409" t="s">
        <v>280</v>
      </c>
      <c r="B53" s="390" t="s">
        <v>285</v>
      </c>
      <c r="C53" s="277"/>
    </row>
    <row r="54" spans="1:3" s="89" customFormat="1" ht="12" customHeight="1" thickBot="1">
      <c r="A54" s="410" t="s">
        <v>281</v>
      </c>
      <c r="B54" s="391" t="s">
        <v>286</v>
      </c>
      <c r="C54" s="377"/>
    </row>
    <row r="55" spans="1:3" s="89" customFormat="1" ht="12" customHeight="1" thickBot="1">
      <c r="A55" s="31" t="s">
        <v>178</v>
      </c>
      <c r="B55" s="21" t="s">
        <v>287</v>
      </c>
      <c r="C55" s="272">
        <f>SUM(C56:C58)</f>
        <v>12000000</v>
      </c>
    </row>
    <row r="56" spans="1:3" s="89" customFormat="1" ht="12" customHeight="1">
      <c r="A56" s="408" t="s">
        <v>96</v>
      </c>
      <c r="B56" s="389" t="s">
        <v>288</v>
      </c>
      <c r="C56" s="275"/>
    </row>
    <row r="57" spans="1:3" s="89" customFormat="1" ht="12" customHeight="1">
      <c r="A57" s="409" t="s">
        <v>97</v>
      </c>
      <c r="B57" s="390" t="s">
        <v>417</v>
      </c>
      <c r="C57" s="274">
        <v>12000000</v>
      </c>
    </row>
    <row r="58" spans="1:3" s="89" customFormat="1" ht="12" customHeight="1">
      <c r="A58" s="409" t="s">
        <v>291</v>
      </c>
      <c r="B58" s="390" t="s">
        <v>289</v>
      </c>
      <c r="C58" s="274"/>
    </row>
    <row r="59" spans="1:3" s="89" customFormat="1" ht="12" customHeight="1" thickBot="1">
      <c r="A59" s="410" t="s">
        <v>292</v>
      </c>
      <c r="B59" s="391" t="s">
        <v>290</v>
      </c>
      <c r="C59" s="276"/>
    </row>
    <row r="60" spans="1:3" s="89" customFormat="1" ht="12" customHeight="1" thickBot="1">
      <c r="A60" s="31" t="s">
        <v>25</v>
      </c>
      <c r="B60" s="267" t="s">
        <v>293</v>
      </c>
      <c r="C60" s="272">
        <f>SUM(C61:C63)</f>
        <v>235500</v>
      </c>
    </row>
    <row r="61" spans="1:3" s="89" customFormat="1" ht="12" customHeight="1">
      <c r="A61" s="408" t="s">
        <v>179</v>
      </c>
      <c r="B61" s="389" t="s">
        <v>295</v>
      </c>
      <c r="C61" s="277"/>
    </row>
    <row r="62" spans="1:3" s="89" customFormat="1" ht="12" customHeight="1">
      <c r="A62" s="409" t="s">
        <v>180</v>
      </c>
      <c r="B62" s="390" t="s">
        <v>418</v>
      </c>
      <c r="C62" s="277"/>
    </row>
    <row r="63" spans="1:3" s="89" customFormat="1" ht="12" customHeight="1">
      <c r="A63" s="409" t="s">
        <v>224</v>
      </c>
      <c r="B63" s="390" t="s">
        <v>296</v>
      </c>
      <c r="C63" s="277">
        <v>235500</v>
      </c>
    </row>
    <row r="64" spans="1:3" s="89" customFormat="1" ht="12" customHeight="1" thickBot="1">
      <c r="A64" s="410" t="s">
        <v>294</v>
      </c>
      <c r="B64" s="391" t="s">
        <v>297</v>
      </c>
      <c r="C64" s="277"/>
    </row>
    <row r="65" spans="1:3" s="89" customFormat="1" ht="12" customHeight="1" thickBot="1">
      <c r="A65" s="31" t="s">
        <v>26</v>
      </c>
      <c r="B65" s="21" t="s">
        <v>298</v>
      </c>
      <c r="C65" s="278">
        <f>+C8+C15+C22+C29+C37+C49+C55+C60</f>
        <v>1774066380</v>
      </c>
    </row>
    <row r="66" spans="1:3" s="89" customFormat="1" ht="12" customHeight="1" thickBot="1">
      <c r="A66" s="411" t="s">
        <v>385</v>
      </c>
      <c r="B66" s="267" t="s">
        <v>300</v>
      </c>
      <c r="C66" s="272">
        <f>SUM(C67:C69)</f>
        <v>0</v>
      </c>
    </row>
    <row r="67" spans="1:3" s="89" customFormat="1" ht="12" customHeight="1">
      <c r="A67" s="408" t="s">
        <v>328</v>
      </c>
      <c r="B67" s="389" t="s">
        <v>301</v>
      </c>
      <c r="C67" s="277"/>
    </row>
    <row r="68" spans="1:3" s="89" customFormat="1" ht="12" customHeight="1">
      <c r="A68" s="409" t="s">
        <v>337</v>
      </c>
      <c r="B68" s="390" t="s">
        <v>302</v>
      </c>
      <c r="C68" s="277"/>
    </row>
    <row r="69" spans="1:3" s="89" customFormat="1" ht="12" customHeight="1" thickBot="1">
      <c r="A69" s="410" t="s">
        <v>338</v>
      </c>
      <c r="B69" s="392" t="s">
        <v>452</v>
      </c>
      <c r="C69" s="277"/>
    </row>
    <row r="70" spans="1:3" s="89" customFormat="1" ht="12" customHeight="1" thickBot="1">
      <c r="A70" s="411" t="s">
        <v>304</v>
      </c>
      <c r="B70" s="267" t="s">
        <v>305</v>
      </c>
      <c r="C70" s="272">
        <f>SUM(C71:C74)</f>
        <v>0</v>
      </c>
    </row>
    <row r="71" spans="1:3" s="89" customFormat="1" ht="12" customHeight="1">
      <c r="A71" s="408" t="s">
        <v>147</v>
      </c>
      <c r="B71" s="389" t="s">
        <v>306</v>
      </c>
      <c r="C71" s="277"/>
    </row>
    <row r="72" spans="1:3" s="89" customFormat="1" ht="12" customHeight="1">
      <c r="A72" s="409" t="s">
        <v>148</v>
      </c>
      <c r="B72" s="390" t="s">
        <v>559</v>
      </c>
      <c r="C72" s="277"/>
    </row>
    <row r="73" spans="1:3" s="89" customFormat="1" ht="12" customHeight="1">
      <c r="A73" s="409" t="s">
        <v>329</v>
      </c>
      <c r="B73" s="390" t="s">
        <v>307</v>
      </c>
      <c r="C73" s="277"/>
    </row>
    <row r="74" spans="1:3" s="89" customFormat="1" ht="12" customHeight="1">
      <c r="A74" s="409" t="s">
        <v>330</v>
      </c>
      <c r="B74" s="268" t="s">
        <v>560</v>
      </c>
      <c r="C74" s="277"/>
    </row>
    <row r="75" spans="1:3" s="89" customFormat="1" ht="12" customHeight="1" thickBot="1">
      <c r="A75" s="415" t="s">
        <v>308</v>
      </c>
      <c r="B75" s="546" t="s">
        <v>309</v>
      </c>
      <c r="C75" s="457">
        <f>SUM(C76:C77)</f>
        <v>357586165</v>
      </c>
    </row>
    <row r="76" spans="1:3" s="89" customFormat="1" ht="12" customHeight="1">
      <c r="A76" s="408" t="s">
        <v>331</v>
      </c>
      <c r="B76" s="389" t="s">
        <v>310</v>
      </c>
      <c r="C76" s="277">
        <v>357586165</v>
      </c>
    </row>
    <row r="77" spans="1:3" s="89" customFormat="1" ht="12" customHeight="1" thickBot="1">
      <c r="A77" s="410" t="s">
        <v>332</v>
      </c>
      <c r="B77" s="391" t="s">
        <v>311</v>
      </c>
      <c r="C77" s="277"/>
    </row>
    <row r="78" spans="1:3" s="88" customFormat="1" ht="12" customHeight="1" thickBot="1">
      <c r="A78" s="411" t="s">
        <v>312</v>
      </c>
      <c r="B78" s="267" t="s">
        <v>313</v>
      </c>
      <c r="C78" s="272">
        <f>SUM(C79:C81)</f>
        <v>0</v>
      </c>
    </row>
    <row r="79" spans="1:3" s="89" customFormat="1" ht="12" customHeight="1">
      <c r="A79" s="408" t="s">
        <v>333</v>
      </c>
      <c r="B79" s="389" t="s">
        <v>314</v>
      </c>
      <c r="C79" s="277"/>
    </row>
    <row r="80" spans="1:3" s="89" customFormat="1" ht="12" customHeight="1">
      <c r="A80" s="409" t="s">
        <v>334</v>
      </c>
      <c r="B80" s="390" t="s">
        <v>315</v>
      </c>
      <c r="C80" s="277"/>
    </row>
    <row r="81" spans="1:3" s="89" customFormat="1" ht="12" customHeight="1" thickBot="1">
      <c r="A81" s="410" t="s">
        <v>335</v>
      </c>
      <c r="B81" s="391" t="s">
        <v>561</v>
      </c>
      <c r="C81" s="277"/>
    </row>
    <row r="82" spans="1:3" s="89" customFormat="1" ht="12" customHeight="1" thickBot="1">
      <c r="A82" s="411" t="s">
        <v>316</v>
      </c>
      <c r="B82" s="267" t="s">
        <v>336</v>
      </c>
      <c r="C82" s="272">
        <f>SUM(C83:C86)</f>
        <v>0</v>
      </c>
    </row>
    <row r="83" spans="1:3" s="89" customFormat="1" ht="12" customHeight="1">
      <c r="A83" s="412" t="s">
        <v>317</v>
      </c>
      <c r="B83" s="389" t="s">
        <v>318</v>
      </c>
      <c r="C83" s="277"/>
    </row>
    <row r="84" spans="1:3" s="89" customFormat="1" ht="12" customHeight="1">
      <c r="A84" s="413" t="s">
        <v>319</v>
      </c>
      <c r="B84" s="390" t="s">
        <v>320</v>
      </c>
      <c r="C84" s="277"/>
    </row>
    <row r="85" spans="1:3" s="89" customFormat="1" ht="12" customHeight="1">
      <c r="A85" s="413" t="s">
        <v>321</v>
      </c>
      <c r="B85" s="390" t="s">
        <v>322</v>
      </c>
      <c r="C85" s="277"/>
    </row>
    <row r="86" spans="1:3" s="88" customFormat="1" ht="12" customHeight="1" thickBot="1">
      <c r="A86" s="414" t="s">
        <v>323</v>
      </c>
      <c r="B86" s="391" t="s">
        <v>324</v>
      </c>
      <c r="C86" s="277"/>
    </row>
    <row r="87" spans="1:3" s="88" customFormat="1" ht="12" customHeight="1" thickBot="1">
      <c r="A87" s="411" t="s">
        <v>325</v>
      </c>
      <c r="B87" s="267" t="s">
        <v>466</v>
      </c>
      <c r="C87" s="434"/>
    </row>
    <row r="88" spans="1:3" s="88" customFormat="1" ht="12" customHeight="1" thickBot="1">
      <c r="A88" s="411" t="s">
        <v>498</v>
      </c>
      <c r="B88" s="267" t="s">
        <v>326</v>
      </c>
      <c r="C88" s="434"/>
    </row>
    <row r="89" spans="1:3" s="88" customFormat="1" ht="12" customHeight="1" thickBot="1">
      <c r="A89" s="411" t="s">
        <v>499</v>
      </c>
      <c r="B89" s="396" t="s">
        <v>469</v>
      </c>
      <c r="C89" s="278">
        <f>+C66+C70+C75+C78+C82+C88+C87</f>
        <v>357586165</v>
      </c>
    </row>
    <row r="90" spans="1:3" s="88" customFormat="1" ht="12" customHeight="1" thickBot="1">
      <c r="A90" s="415" t="s">
        <v>500</v>
      </c>
      <c r="B90" s="397" t="s">
        <v>501</v>
      </c>
      <c r="C90" s="278">
        <f>+C65+C89</f>
        <v>2131652545</v>
      </c>
    </row>
    <row r="91" spans="1:3" s="89" customFormat="1" ht="6.75" customHeight="1" thickBot="1">
      <c r="A91" s="214"/>
      <c r="B91" s="215"/>
      <c r="C91" s="337"/>
    </row>
    <row r="92" spans="1:3" s="67" customFormat="1" ht="16.5" customHeight="1" thickBot="1">
      <c r="A92" s="218"/>
      <c r="B92" s="219" t="s">
        <v>57</v>
      </c>
      <c r="C92" s="339"/>
    </row>
    <row r="93" spans="1:3" s="90" customFormat="1" ht="12" customHeight="1" thickBot="1">
      <c r="A93" s="383" t="s">
        <v>18</v>
      </c>
      <c r="B93" s="28" t="s">
        <v>505</v>
      </c>
      <c r="C93" s="271">
        <f>+C94+C95+C96+C97+C98+C111</f>
        <v>883215117</v>
      </c>
    </row>
    <row r="94" spans="1:3" ht="12" customHeight="1">
      <c r="A94" s="416" t="s">
        <v>98</v>
      </c>
      <c r="B94" s="10" t="s">
        <v>49</v>
      </c>
      <c r="C94" s="273">
        <v>55267012</v>
      </c>
    </row>
    <row r="95" spans="1:3" ht="12" customHeight="1">
      <c r="A95" s="409" t="s">
        <v>99</v>
      </c>
      <c r="B95" s="8" t="s">
        <v>181</v>
      </c>
      <c r="C95" s="274">
        <v>8463517</v>
      </c>
    </row>
    <row r="96" spans="1:3" ht="12" customHeight="1">
      <c r="A96" s="409" t="s">
        <v>100</v>
      </c>
      <c r="B96" s="8" t="s">
        <v>138</v>
      </c>
      <c r="C96" s="276">
        <v>272518259</v>
      </c>
    </row>
    <row r="97" spans="1:3" ht="12" customHeight="1">
      <c r="A97" s="409" t="s">
        <v>101</v>
      </c>
      <c r="B97" s="11" t="s">
        <v>182</v>
      </c>
      <c r="C97" s="276">
        <v>23800000</v>
      </c>
    </row>
    <row r="98" spans="1:3" ht="12" customHeight="1">
      <c r="A98" s="409" t="s">
        <v>112</v>
      </c>
      <c r="B98" s="19" t="s">
        <v>183</v>
      </c>
      <c r="C98" s="276">
        <v>345664475</v>
      </c>
    </row>
    <row r="99" spans="1:3" ht="12" customHeight="1">
      <c r="A99" s="409" t="s">
        <v>102</v>
      </c>
      <c r="B99" s="8" t="s">
        <v>502</v>
      </c>
      <c r="C99" s="276"/>
    </row>
    <row r="100" spans="1:3" ht="12" customHeight="1">
      <c r="A100" s="409" t="s">
        <v>103</v>
      </c>
      <c r="B100" s="137" t="s">
        <v>432</v>
      </c>
      <c r="C100" s="276">
        <v>75942023</v>
      </c>
    </row>
    <row r="101" spans="1:3" ht="12" customHeight="1">
      <c r="A101" s="409" t="s">
        <v>113</v>
      </c>
      <c r="B101" s="137" t="s">
        <v>431</v>
      </c>
      <c r="C101" s="276"/>
    </row>
    <row r="102" spans="1:3" ht="12" customHeight="1">
      <c r="A102" s="409" t="s">
        <v>114</v>
      </c>
      <c r="B102" s="137" t="s">
        <v>342</v>
      </c>
      <c r="C102" s="276"/>
    </row>
    <row r="103" spans="1:3" ht="12" customHeight="1">
      <c r="A103" s="409" t="s">
        <v>115</v>
      </c>
      <c r="B103" s="138" t="s">
        <v>343</v>
      </c>
      <c r="C103" s="276"/>
    </row>
    <row r="104" spans="1:3" ht="12" customHeight="1">
      <c r="A104" s="409" t="s">
        <v>116</v>
      </c>
      <c r="B104" s="138" t="s">
        <v>344</v>
      </c>
      <c r="C104" s="276"/>
    </row>
    <row r="105" spans="1:3" ht="12" customHeight="1">
      <c r="A105" s="409" t="s">
        <v>118</v>
      </c>
      <c r="B105" s="137" t="s">
        <v>345</v>
      </c>
      <c r="C105" s="276">
        <v>52309933</v>
      </c>
    </row>
    <row r="106" spans="1:3" ht="12" customHeight="1">
      <c r="A106" s="409" t="s">
        <v>184</v>
      </c>
      <c r="B106" s="137" t="s">
        <v>346</v>
      </c>
      <c r="C106" s="276"/>
    </row>
    <row r="107" spans="1:3" ht="12" customHeight="1">
      <c r="A107" s="409" t="s">
        <v>340</v>
      </c>
      <c r="B107" s="138" t="s">
        <v>347</v>
      </c>
      <c r="C107" s="276"/>
    </row>
    <row r="108" spans="1:3" ht="12" customHeight="1">
      <c r="A108" s="417" t="s">
        <v>341</v>
      </c>
      <c r="B108" s="139" t="s">
        <v>348</v>
      </c>
      <c r="C108" s="276"/>
    </row>
    <row r="109" spans="1:3" ht="12" customHeight="1">
      <c r="A109" s="409" t="s">
        <v>429</v>
      </c>
      <c r="B109" s="139" t="s">
        <v>349</v>
      </c>
      <c r="C109" s="276"/>
    </row>
    <row r="110" spans="1:3" ht="12" customHeight="1">
      <c r="A110" s="409" t="s">
        <v>430</v>
      </c>
      <c r="B110" s="138" t="s">
        <v>350</v>
      </c>
      <c r="C110" s="274">
        <v>217412519</v>
      </c>
    </row>
    <row r="111" spans="1:3" ht="12" customHeight="1">
      <c r="A111" s="409" t="s">
        <v>434</v>
      </c>
      <c r="B111" s="11" t="s">
        <v>50</v>
      </c>
      <c r="C111" s="274">
        <v>177501854</v>
      </c>
    </row>
    <row r="112" spans="1:3" ht="12" customHeight="1">
      <c r="A112" s="410" t="s">
        <v>435</v>
      </c>
      <c r="B112" s="8" t="s">
        <v>503</v>
      </c>
      <c r="C112" s="276"/>
    </row>
    <row r="113" spans="1:3" ht="12" customHeight="1" thickBot="1">
      <c r="A113" s="418" t="s">
        <v>436</v>
      </c>
      <c r="B113" s="140" t="s">
        <v>504</v>
      </c>
      <c r="C113" s="280">
        <v>177501854</v>
      </c>
    </row>
    <row r="114" spans="1:3" ht="12" customHeight="1" thickBot="1">
      <c r="A114" s="31" t="s">
        <v>19</v>
      </c>
      <c r="B114" s="27" t="s">
        <v>351</v>
      </c>
      <c r="C114" s="272">
        <f>+C115+C117+C119</f>
        <v>308758463</v>
      </c>
    </row>
    <row r="115" spans="1:3" ht="12" customHeight="1">
      <c r="A115" s="408" t="s">
        <v>104</v>
      </c>
      <c r="B115" s="8" t="s">
        <v>223</v>
      </c>
      <c r="C115" s="275">
        <v>148862167</v>
      </c>
    </row>
    <row r="116" spans="1:3" ht="12" customHeight="1">
      <c r="A116" s="408" t="s">
        <v>105</v>
      </c>
      <c r="B116" s="12" t="s">
        <v>355</v>
      </c>
      <c r="C116" s="275">
        <v>0</v>
      </c>
    </row>
    <row r="117" spans="1:3" ht="12" customHeight="1">
      <c r="A117" s="408" t="s">
        <v>106</v>
      </c>
      <c r="B117" s="12" t="s">
        <v>185</v>
      </c>
      <c r="C117" s="274">
        <v>159896296</v>
      </c>
    </row>
    <row r="118" spans="1:3" ht="12" customHeight="1">
      <c r="A118" s="408" t="s">
        <v>107</v>
      </c>
      <c r="B118" s="12" t="s">
        <v>356</v>
      </c>
      <c r="C118" s="240">
        <v>63310137</v>
      </c>
    </row>
    <row r="119" spans="1:3" ht="12" customHeight="1">
      <c r="A119" s="408" t="s">
        <v>108</v>
      </c>
      <c r="B119" s="269" t="s">
        <v>225</v>
      </c>
      <c r="C119" s="240"/>
    </row>
    <row r="120" spans="1:3" ht="12" customHeight="1">
      <c r="A120" s="408" t="s">
        <v>117</v>
      </c>
      <c r="B120" s="268" t="s">
        <v>419</v>
      </c>
      <c r="C120" s="240"/>
    </row>
    <row r="121" spans="1:3" ht="12" customHeight="1">
      <c r="A121" s="408" t="s">
        <v>119</v>
      </c>
      <c r="B121" s="385" t="s">
        <v>361</v>
      </c>
      <c r="C121" s="240"/>
    </row>
    <row r="122" spans="1:3" ht="12" customHeight="1">
      <c r="A122" s="408" t="s">
        <v>186</v>
      </c>
      <c r="B122" s="138" t="s">
        <v>344</v>
      </c>
      <c r="C122" s="240"/>
    </row>
    <row r="123" spans="1:3" ht="12" customHeight="1">
      <c r="A123" s="408" t="s">
        <v>187</v>
      </c>
      <c r="B123" s="138" t="s">
        <v>360</v>
      </c>
      <c r="C123" s="240"/>
    </row>
    <row r="124" spans="1:3" ht="12" customHeight="1">
      <c r="A124" s="408" t="s">
        <v>188</v>
      </c>
      <c r="B124" s="138" t="s">
        <v>359</v>
      </c>
      <c r="C124" s="240"/>
    </row>
    <row r="125" spans="1:3" ht="12" customHeight="1">
      <c r="A125" s="408" t="s">
        <v>352</v>
      </c>
      <c r="B125" s="138" t="s">
        <v>347</v>
      </c>
      <c r="C125" s="240"/>
    </row>
    <row r="126" spans="1:3" ht="12" customHeight="1">
      <c r="A126" s="408" t="s">
        <v>353</v>
      </c>
      <c r="B126" s="138" t="s">
        <v>358</v>
      </c>
      <c r="C126" s="240"/>
    </row>
    <row r="127" spans="1:3" ht="12" customHeight="1" thickBot="1">
      <c r="A127" s="417" t="s">
        <v>354</v>
      </c>
      <c r="B127" s="138" t="s">
        <v>357</v>
      </c>
      <c r="C127" s="242"/>
    </row>
    <row r="128" spans="1:3" ht="12" customHeight="1" thickBot="1">
      <c r="A128" s="31" t="s">
        <v>20</v>
      </c>
      <c r="B128" s="119" t="s">
        <v>439</v>
      </c>
      <c r="C128" s="272">
        <f>+C93+C114</f>
        <v>1191973580</v>
      </c>
    </row>
    <row r="129" spans="1:3" ht="12" customHeight="1" thickBot="1">
      <c r="A129" s="31" t="s">
        <v>21</v>
      </c>
      <c r="B129" s="119" t="s">
        <v>440</v>
      </c>
      <c r="C129" s="272">
        <f>+C130+C131+C132</f>
        <v>0</v>
      </c>
    </row>
    <row r="130" spans="1:3" s="90" customFormat="1" ht="12" customHeight="1">
      <c r="A130" s="408" t="s">
        <v>261</v>
      </c>
      <c r="B130" s="9" t="s">
        <v>508</v>
      </c>
      <c r="C130" s="240"/>
    </row>
    <row r="131" spans="1:3" ht="12" customHeight="1">
      <c r="A131" s="408" t="s">
        <v>262</v>
      </c>
      <c r="B131" s="9" t="s">
        <v>448</v>
      </c>
      <c r="C131" s="240"/>
    </row>
    <row r="132" spans="1:3" ht="12" customHeight="1" thickBot="1">
      <c r="A132" s="417" t="s">
        <v>263</v>
      </c>
      <c r="B132" s="7" t="s">
        <v>507</v>
      </c>
      <c r="C132" s="240"/>
    </row>
    <row r="133" spans="1:3" ht="12" customHeight="1" thickBot="1">
      <c r="A133" s="31" t="s">
        <v>22</v>
      </c>
      <c r="B133" s="119" t="s">
        <v>441</v>
      </c>
      <c r="C133" s="272">
        <f>+C134+C135+C136+C137+C138+C139</f>
        <v>0</v>
      </c>
    </row>
    <row r="134" spans="1:3" ht="12" customHeight="1">
      <c r="A134" s="408" t="s">
        <v>91</v>
      </c>
      <c r="B134" s="9" t="s">
        <v>450</v>
      </c>
      <c r="C134" s="240"/>
    </row>
    <row r="135" spans="1:3" ht="12" customHeight="1">
      <c r="A135" s="408" t="s">
        <v>92</v>
      </c>
      <c r="B135" s="9" t="s">
        <v>442</v>
      </c>
      <c r="C135" s="240"/>
    </row>
    <row r="136" spans="1:3" ht="12" customHeight="1">
      <c r="A136" s="408" t="s">
        <v>93</v>
      </c>
      <c r="B136" s="9" t="s">
        <v>443</v>
      </c>
      <c r="C136" s="240"/>
    </row>
    <row r="137" spans="1:3" ht="12" customHeight="1">
      <c r="A137" s="408" t="s">
        <v>173</v>
      </c>
      <c r="B137" s="9" t="s">
        <v>506</v>
      </c>
      <c r="C137" s="240"/>
    </row>
    <row r="138" spans="1:3" ht="12" customHeight="1">
      <c r="A138" s="408" t="s">
        <v>174</v>
      </c>
      <c r="B138" s="9" t="s">
        <v>445</v>
      </c>
      <c r="C138" s="240"/>
    </row>
    <row r="139" spans="1:3" s="90" customFormat="1" ht="12" customHeight="1" thickBot="1">
      <c r="A139" s="417" t="s">
        <v>175</v>
      </c>
      <c r="B139" s="7" t="s">
        <v>446</v>
      </c>
      <c r="C139" s="240"/>
    </row>
    <row r="140" spans="1:11" ht="12" customHeight="1" thickBot="1">
      <c r="A140" s="31" t="s">
        <v>23</v>
      </c>
      <c r="B140" s="119" t="s">
        <v>532</v>
      </c>
      <c r="C140" s="278">
        <f>+C141+C142+C144+C145+C143</f>
        <v>939678965</v>
      </c>
      <c r="K140" s="225"/>
    </row>
    <row r="141" spans="1:3" ht="12.75">
      <c r="A141" s="408" t="s">
        <v>94</v>
      </c>
      <c r="B141" s="9" t="s">
        <v>362</v>
      </c>
      <c r="C141" s="240"/>
    </row>
    <row r="142" spans="1:3" ht="12" customHeight="1">
      <c r="A142" s="408" t="s">
        <v>95</v>
      </c>
      <c r="B142" s="9" t="s">
        <v>363</v>
      </c>
      <c r="C142" s="240">
        <v>19897658</v>
      </c>
    </row>
    <row r="143" spans="1:3" ht="12" customHeight="1">
      <c r="A143" s="408" t="s">
        <v>279</v>
      </c>
      <c r="B143" s="9" t="s">
        <v>531</v>
      </c>
      <c r="C143" s="240">
        <v>919781307</v>
      </c>
    </row>
    <row r="144" spans="1:3" s="90" customFormat="1" ht="12" customHeight="1">
      <c r="A144" s="408" t="s">
        <v>280</v>
      </c>
      <c r="B144" s="9" t="s">
        <v>455</v>
      </c>
      <c r="C144" s="240"/>
    </row>
    <row r="145" spans="1:3" s="90" customFormat="1" ht="12" customHeight="1" thickBot="1">
      <c r="A145" s="417" t="s">
        <v>281</v>
      </c>
      <c r="B145" s="7" t="s">
        <v>381</v>
      </c>
      <c r="C145" s="240"/>
    </row>
    <row r="146" spans="1:3" s="90" customFormat="1" ht="12" customHeight="1" thickBot="1">
      <c r="A146" s="31" t="s">
        <v>24</v>
      </c>
      <c r="B146" s="119" t="s">
        <v>456</v>
      </c>
      <c r="C146" s="281">
        <f>+C147+C148+C149+C150+C151</f>
        <v>0</v>
      </c>
    </row>
    <row r="147" spans="1:3" s="90" customFormat="1" ht="12" customHeight="1">
      <c r="A147" s="408" t="s">
        <v>96</v>
      </c>
      <c r="B147" s="9" t="s">
        <v>451</v>
      </c>
      <c r="C147" s="240"/>
    </row>
    <row r="148" spans="1:3" s="90" customFormat="1" ht="12" customHeight="1">
      <c r="A148" s="408" t="s">
        <v>97</v>
      </c>
      <c r="B148" s="9" t="s">
        <v>458</v>
      </c>
      <c r="C148" s="240"/>
    </row>
    <row r="149" spans="1:3" s="90" customFormat="1" ht="12" customHeight="1">
      <c r="A149" s="408" t="s">
        <v>291</v>
      </c>
      <c r="B149" s="9" t="s">
        <v>453</v>
      </c>
      <c r="C149" s="240"/>
    </row>
    <row r="150" spans="1:3" s="90" customFormat="1" ht="12" customHeight="1">
      <c r="A150" s="408" t="s">
        <v>292</v>
      </c>
      <c r="B150" s="9" t="s">
        <v>509</v>
      </c>
      <c r="C150" s="240"/>
    </row>
    <row r="151" spans="1:3" ht="12.75" customHeight="1" thickBot="1">
      <c r="A151" s="417" t="s">
        <v>457</v>
      </c>
      <c r="B151" s="7" t="s">
        <v>460</v>
      </c>
      <c r="C151" s="242"/>
    </row>
    <row r="152" spans="1:3" ht="12.75" customHeight="1" thickBot="1">
      <c r="A152" s="462" t="s">
        <v>25</v>
      </c>
      <c r="B152" s="119" t="s">
        <v>461</v>
      </c>
      <c r="C152" s="281"/>
    </row>
    <row r="153" spans="1:3" ht="12.75" customHeight="1" thickBot="1">
      <c r="A153" s="462" t="s">
        <v>26</v>
      </c>
      <c r="B153" s="119" t="s">
        <v>462</v>
      </c>
      <c r="C153" s="281"/>
    </row>
    <row r="154" spans="1:3" ht="12" customHeight="1" thickBot="1">
      <c r="A154" s="31" t="s">
        <v>27</v>
      </c>
      <c r="B154" s="119" t="s">
        <v>464</v>
      </c>
      <c r="C154" s="399">
        <f>+C129+C133+C140+C146+C152+C153</f>
        <v>939678965</v>
      </c>
    </row>
    <row r="155" spans="1:3" ht="15" customHeight="1" thickBot="1">
      <c r="A155" s="419" t="s">
        <v>28</v>
      </c>
      <c r="B155" s="354" t="s">
        <v>463</v>
      </c>
      <c r="C155" s="399">
        <f>+C128+C154</f>
        <v>2131652545</v>
      </c>
    </row>
    <row r="156" spans="1:3" ht="13.5" thickBot="1">
      <c r="A156" s="362"/>
      <c r="B156" s="363"/>
      <c r="C156" s="586">
        <f>C90-C155</f>
        <v>0</v>
      </c>
    </row>
    <row r="157" spans="1:3" ht="15" customHeight="1" thickBot="1">
      <c r="A157" s="223" t="s">
        <v>510</v>
      </c>
      <c r="B157" s="224"/>
      <c r="C157" s="116">
        <v>7</v>
      </c>
    </row>
    <row r="158" spans="1:3" ht="14.25" customHeight="1" thickBot="1">
      <c r="A158" s="223" t="s">
        <v>202</v>
      </c>
      <c r="B158" s="224"/>
      <c r="C158" s="116">
        <v>0</v>
      </c>
    </row>
    <row r="159" spans="1:3" ht="12.75">
      <c r="A159" s="583"/>
      <c r="B159" s="584"/>
      <c r="C159" s="634"/>
    </row>
    <row r="160" spans="1:2" ht="12.75">
      <c r="A160" s="583"/>
      <c r="B160" s="584"/>
    </row>
    <row r="161" spans="1:3" ht="12.75">
      <c r="A161" s="583"/>
      <c r="B161" s="584"/>
      <c r="C161" s="585"/>
    </row>
    <row r="162" spans="1:3" ht="12.75">
      <c r="A162" s="583"/>
      <c r="B162" s="584"/>
      <c r="C162" s="585"/>
    </row>
    <row r="163" spans="1:3" ht="12.75">
      <c r="A163" s="583"/>
      <c r="B163" s="584"/>
      <c r="C163" s="585"/>
    </row>
    <row r="164" spans="1:3" ht="12.75">
      <c r="A164" s="583"/>
      <c r="B164" s="584"/>
      <c r="C164" s="585"/>
    </row>
    <row r="165" spans="1:3" ht="12.75">
      <c r="A165" s="583"/>
      <c r="B165" s="584"/>
      <c r="C165" s="585"/>
    </row>
    <row r="166" spans="1:3" ht="12.75">
      <c r="A166" s="583"/>
      <c r="B166" s="584"/>
      <c r="C166" s="585"/>
    </row>
    <row r="167" spans="1:3" ht="12.75">
      <c r="A167" s="583"/>
      <c r="B167" s="584"/>
      <c r="C167" s="585"/>
    </row>
    <row r="168" spans="1:3" ht="12.75">
      <c r="A168" s="583"/>
      <c r="B168" s="584"/>
      <c r="C168" s="585"/>
    </row>
    <row r="169" spans="1:3" ht="12.75">
      <c r="A169" s="583"/>
      <c r="B169" s="584"/>
      <c r="C169" s="585"/>
    </row>
    <row r="170" spans="1:3" ht="12.75">
      <c r="A170" s="583"/>
      <c r="B170" s="584"/>
      <c r="C170" s="585"/>
    </row>
    <row r="171" spans="1:3" ht="12.75">
      <c r="A171" s="583"/>
      <c r="B171" s="584"/>
      <c r="C171" s="585"/>
    </row>
    <row r="172" spans="1:3" ht="12.75">
      <c r="A172" s="583"/>
      <c r="B172" s="584"/>
      <c r="C172" s="585"/>
    </row>
    <row r="173" spans="1:3" ht="12.75">
      <c r="A173" s="583"/>
      <c r="B173" s="584"/>
      <c r="C173" s="585"/>
    </row>
    <row r="174" spans="1:3" ht="12.75">
      <c r="A174" s="583"/>
      <c r="B174" s="584"/>
      <c r="C174" s="585"/>
    </row>
    <row r="175" spans="1:3" ht="12.75">
      <c r="A175" s="583"/>
      <c r="B175" s="584"/>
      <c r="C175" s="585"/>
    </row>
    <row r="176" spans="1:3" ht="12.75">
      <c r="A176" s="583"/>
      <c r="B176" s="584"/>
      <c r="C176" s="585"/>
    </row>
    <row r="177" spans="1:3" ht="12.75">
      <c r="A177" s="583"/>
      <c r="B177" s="584"/>
      <c r="C177" s="585"/>
    </row>
    <row r="178" spans="1:3" ht="12.75">
      <c r="A178" s="583"/>
      <c r="B178" s="584"/>
      <c r="C178" s="585"/>
    </row>
    <row r="179" spans="1:3" ht="12.75">
      <c r="A179" s="583"/>
      <c r="B179" s="584"/>
      <c r="C179" s="58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K178"/>
  <sheetViews>
    <sheetView zoomScale="120" zoomScaleNormal="120" zoomScaleSheetLayoutView="85" workbookViewId="0" topLeftCell="A126">
      <selection activeCell="E36" sqref="E36"/>
    </sheetView>
  </sheetViews>
  <sheetFormatPr defaultColWidth="9.00390625" defaultRowHeight="12.75"/>
  <cols>
    <col min="1" max="1" width="19.50390625" style="364" customWidth="1"/>
    <col min="2" max="2" width="72.00390625" style="365" customWidth="1"/>
    <col min="3" max="3" width="25.00390625" style="366" customWidth="1"/>
    <col min="4" max="16384" width="9.375" style="3" customWidth="1"/>
  </cols>
  <sheetData>
    <row r="1" spans="1:3" s="2" customFormat="1" ht="16.5" customHeight="1" thickBot="1">
      <c r="A1" s="564"/>
      <c r="B1" s="565"/>
      <c r="C1" s="561" t="str">
        <f>CONCATENATE("9.1.1. melléklet ",ALAPADATOK!A7," ",ALAPADATOK!B7," ",ALAPADATOK!C7," ",ALAPADATOK!D7," ",ALAPADATOK!E7," ",ALAPADATOK!F7," ",ALAPADATOK!G7," ",ALAPADATOK!H7)</f>
        <v>9.1.1. melléklet a … / 2021 ( … ) önkormányzati rendelethez</v>
      </c>
    </row>
    <row r="2" spans="1:3" s="86" customFormat="1" ht="16.5" customHeight="1">
      <c r="A2" s="566" t="s">
        <v>61</v>
      </c>
      <c r="B2" s="567" t="str">
        <f>CONCATENATE(ALAPADATOK!A3)</f>
        <v>SOLYMÁR NAGYKÖZSÉG ÖNKORMÁNYZATA</v>
      </c>
      <c r="C2" s="568" t="s">
        <v>54</v>
      </c>
    </row>
    <row r="3" spans="1:3" s="86" customFormat="1" ht="16.5" thickBot="1">
      <c r="A3" s="569" t="s">
        <v>199</v>
      </c>
      <c r="B3" s="570" t="s">
        <v>420</v>
      </c>
      <c r="C3" s="571" t="s">
        <v>59</v>
      </c>
    </row>
    <row r="4" spans="1:3" s="87" customFormat="1" ht="13.5" customHeight="1" thickBot="1">
      <c r="A4" s="572"/>
      <c r="B4" s="572"/>
      <c r="C4" s="573" t="str">
        <f>'KV_9.1.sz.mell'!C4</f>
        <v>Forintban!</v>
      </c>
    </row>
    <row r="5" spans="1:3" ht="13.5" thickBot="1">
      <c r="A5" s="574" t="s">
        <v>201</v>
      </c>
      <c r="B5" s="575" t="s">
        <v>553</v>
      </c>
      <c r="C5" s="576" t="s">
        <v>55</v>
      </c>
    </row>
    <row r="6" spans="1:3" s="67" customFormat="1" ht="12.75" customHeight="1" thickBot="1">
      <c r="A6" s="577"/>
      <c r="B6" s="578" t="s">
        <v>484</v>
      </c>
      <c r="C6" s="579" t="s">
        <v>485</v>
      </c>
    </row>
    <row r="7" spans="1:3" s="67" customFormat="1" ht="10.5" customHeight="1" thickBot="1">
      <c r="A7" s="208"/>
      <c r="B7" s="209" t="s">
        <v>56</v>
      </c>
      <c r="C7" s="332"/>
    </row>
    <row r="8" spans="1:3" s="67" customFormat="1" ht="12" customHeight="1" thickBot="1">
      <c r="A8" s="31" t="s">
        <v>18</v>
      </c>
      <c r="B8" s="21" t="s">
        <v>245</v>
      </c>
      <c r="C8" s="272">
        <f>+C9+C10+C11+C12+C13+C14</f>
        <v>497441457</v>
      </c>
    </row>
    <row r="9" spans="1:3" s="88" customFormat="1" ht="12" customHeight="1">
      <c r="A9" s="408" t="s">
        <v>98</v>
      </c>
      <c r="B9" s="389" t="s">
        <v>246</v>
      </c>
      <c r="C9" s="275">
        <v>223720930</v>
      </c>
    </row>
    <row r="10" spans="1:3" s="89" customFormat="1" ht="12" customHeight="1">
      <c r="A10" s="409" t="s">
        <v>99</v>
      </c>
      <c r="B10" s="390" t="s">
        <v>247</v>
      </c>
      <c r="C10" s="274">
        <v>144810450</v>
      </c>
    </row>
    <row r="11" spans="1:3" s="89" customFormat="1" ht="12" customHeight="1">
      <c r="A11" s="409" t="s">
        <v>100</v>
      </c>
      <c r="B11" s="390" t="s">
        <v>541</v>
      </c>
      <c r="C11" s="274">
        <v>104408607</v>
      </c>
    </row>
    <row r="12" spans="1:3" s="89" customFormat="1" ht="12" customHeight="1">
      <c r="A12" s="409" t="s">
        <v>101</v>
      </c>
      <c r="B12" s="390" t="s">
        <v>249</v>
      </c>
      <c r="C12" s="274">
        <v>24501470</v>
      </c>
    </row>
    <row r="13" spans="1:3" s="89" customFormat="1" ht="12" customHeight="1">
      <c r="A13" s="409" t="s">
        <v>146</v>
      </c>
      <c r="B13" s="390" t="s">
        <v>497</v>
      </c>
      <c r="C13" s="274"/>
    </row>
    <row r="14" spans="1:3" s="88" customFormat="1" ht="12" customHeight="1" thickBot="1">
      <c r="A14" s="410" t="s">
        <v>102</v>
      </c>
      <c r="B14" s="391" t="s">
        <v>424</v>
      </c>
      <c r="C14" s="274"/>
    </row>
    <row r="15" spans="1:3" s="88" customFormat="1" ht="12" customHeight="1" thickBot="1">
      <c r="A15" s="31" t="s">
        <v>19</v>
      </c>
      <c r="B15" s="267" t="s">
        <v>250</v>
      </c>
      <c r="C15" s="272">
        <f>+C16+C17+C18+C19+C20</f>
        <v>43786400</v>
      </c>
    </row>
    <row r="16" spans="1:3" s="88" customFormat="1" ht="12" customHeight="1">
      <c r="A16" s="408" t="s">
        <v>104</v>
      </c>
      <c r="B16" s="389" t="s">
        <v>251</v>
      </c>
      <c r="C16" s="275"/>
    </row>
    <row r="17" spans="1:3" s="88" customFormat="1" ht="12" customHeight="1">
      <c r="A17" s="409" t="s">
        <v>105</v>
      </c>
      <c r="B17" s="390" t="s">
        <v>252</v>
      </c>
      <c r="C17" s="274"/>
    </row>
    <row r="18" spans="1:3" s="88" customFormat="1" ht="12" customHeight="1">
      <c r="A18" s="409" t="s">
        <v>106</v>
      </c>
      <c r="B18" s="390" t="s">
        <v>413</v>
      </c>
      <c r="C18" s="274"/>
    </row>
    <row r="19" spans="1:3" s="88" customFormat="1" ht="12" customHeight="1">
      <c r="A19" s="409" t="s">
        <v>107</v>
      </c>
      <c r="B19" s="390" t="s">
        <v>414</v>
      </c>
      <c r="C19" s="274"/>
    </row>
    <row r="20" spans="1:3" s="88" customFormat="1" ht="12" customHeight="1">
      <c r="A20" s="409" t="s">
        <v>108</v>
      </c>
      <c r="B20" s="390" t="s">
        <v>253</v>
      </c>
      <c r="C20" s="274">
        <v>43786400</v>
      </c>
    </row>
    <row r="21" spans="1:3" s="89" customFormat="1" ht="12" customHeight="1" thickBot="1">
      <c r="A21" s="410" t="s">
        <v>117</v>
      </c>
      <c r="B21" s="391" t="s">
        <v>254</v>
      </c>
      <c r="C21" s="276"/>
    </row>
    <row r="22" spans="1:3" s="89" customFormat="1" ht="12" customHeight="1" thickBot="1">
      <c r="A22" s="31" t="s">
        <v>20</v>
      </c>
      <c r="B22" s="21" t="s">
        <v>255</v>
      </c>
      <c r="C22" s="272">
        <f>+C23+C24+C25+C26+C27</f>
        <v>63310137</v>
      </c>
    </row>
    <row r="23" spans="1:3" s="89" customFormat="1" ht="12" customHeight="1">
      <c r="A23" s="408" t="s">
        <v>87</v>
      </c>
      <c r="B23" s="389" t="s">
        <v>256</v>
      </c>
      <c r="C23" s="275"/>
    </row>
    <row r="24" spans="1:3" s="88" customFormat="1" ht="12" customHeight="1">
      <c r="A24" s="409" t="s">
        <v>88</v>
      </c>
      <c r="B24" s="390" t="s">
        <v>257</v>
      </c>
      <c r="C24" s="274"/>
    </row>
    <row r="25" spans="1:3" s="89" customFormat="1" ht="12" customHeight="1">
      <c r="A25" s="409" t="s">
        <v>89</v>
      </c>
      <c r="B25" s="390" t="s">
        <v>415</v>
      </c>
      <c r="C25" s="274"/>
    </row>
    <row r="26" spans="1:3" s="89" customFormat="1" ht="12" customHeight="1">
      <c r="A26" s="409" t="s">
        <v>90</v>
      </c>
      <c r="B26" s="390" t="s">
        <v>416</v>
      </c>
      <c r="C26" s="274"/>
    </row>
    <row r="27" spans="1:3" s="89" customFormat="1" ht="12" customHeight="1">
      <c r="A27" s="409" t="s">
        <v>169</v>
      </c>
      <c r="B27" s="390" t="s">
        <v>258</v>
      </c>
      <c r="C27" s="274">
        <v>63310137</v>
      </c>
    </row>
    <row r="28" spans="1:3" s="89" customFormat="1" ht="12" customHeight="1" thickBot="1">
      <c r="A28" s="410" t="s">
        <v>170</v>
      </c>
      <c r="B28" s="391" t="s">
        <v>259</v>
      </c>
      <c r="C28" s="274">
        <v>63310137</v>
      </c>
    </row>
    <row r="29" spans="1:3" s="89" customFormat="1" ht="12" customHeight="1" thickBot="1">
      <c r="A29" s="31" t="s">
        <v>171</v>
      </c>
      <c r="B29" s="21" t="s">
        <v>550</v>
      </c>
      <c r="C29" s="278">
        <f>SUM(C30:C36)</f>
        <v>8000000</v>
      </c>
    </row>
    <row r="30" spans="1:3" s="89" customFormat="1" ht="12" customHeight="1">
      <c r="A30" s="408" t="s">
        <v>261</v>
      </c>
      <c r="B30" s="389" t="str">
        <f>'KV_1.1.sz.mell.'!B32</f>
        <v>Építményadó</v>
      </c>
      <c r="C30" s="275"/>
    </row>
    <row r="31" spans="1:3" s="89" customFormat="1" ht="12" customHeight="1">
      <c r="A31" s="409" t="s">
        <v>262</v>
      </c>
      <c r="B31" s="389" t="str">
        <f>'KV_1.1.sz.mell.'!B33</f>
        <v>Telekadó</v>
      </c>
      <c r="C31" s="274"/>
    </row>
    <row r="32" spans="1:3" s="89" customFormat="1" ht="12" customHeight="1">
      <c r="A32" s="409" t="s">
        <v>263</v>
      </c>
      <c r="B32" s="389" t="str">
        <f>'KV_1.1.sz.mell.'!B34</f>
        <v>Iparűzési adó</v>
      </c>
      <c r="C32" s="274"/>
    </row>
    <row r="33" spans="1:3" s="89" customFormat="1" ht="12" customHeight="1">
      <c r="A33" s="409" t="s">
        <v>264</v>
      </c>
      <c r="B33" s="389" t="str">
        <f>'KV_1.1.sz.mell.'!B35</f>
        <v>Talajterhelési díj</v>
      </c>
      <c r="C33" s="274"/>
    </row>
    <row r="34" spans="1:3" s="89" customFormat="1" ht="12" customHeight="1">
      <c r="A34" s="409" t="s">
        <v>543</v>
      </c>
      <c r="B34" s="389" t="str">
        <f>'KV_1.1.sz.mell.'!B36</f>
        <v>Gépjárműadó</v>
      </c>
      <c r="C34" s="274"/>
    </row>
    <row r="35" spans="1:3" s="89" customFormat="1" ht="12" customHeight="1">
      <c r="A35" s="409" t="s">
        <v>544</v>
      </c>
      <c r="B35" s="389" t="str">
        <f>'KV_1.1.sz.mell.'!B37</f>
        <v>Adópótlék, adóbírság</v>
      </c>
      <c r="C35" s="274"/>
    </row>
    <row r="36" spans="1:3" s="89" customFormat="1" ht="12" customHeight="1" thickBot="1">
      <c r="A36" s="410" t="s">
        <v>545</v>
      </c>
      <c r="B36" s="389" t="str">
        <f>'KV_1.1.sz.mell.'!B38</f>
        <v>Egyéb  közhatalmi bevételek</v>
      </c>
      <c r="C36" s="276">
        <v>8000000</v>
      </c>
    </row>
    <row r="37" spans="1:3" s="89" customFormat="1" ht="12" customHeight="1" thickBot="1">
      <c r="A37" s="31" t="s">
        <v>22</v>
      </c>
      <c r="B37" s="21" t="s">
        <v>425</v>
      </c>
      <c r="C37" s="272">
        <f>SUM(C38:C48)</f>
        <v>56859447</v>
      </c>
    </row>
    <row r="38" spans="1:3" s="89" customFormat="1" ht="12" customHeight="1">
      <c r="A38" s="408" t="s">
        <v>91</v>
      </c>
      <c r="B38" s="389" t="s">
        <v>268</v>
      </c>
      <c r="C38" s="275"/>
    </row>
    <row r="39" spans="1:3" s="89" customFormat="1" ht="12" customHeight="1">
      <c r="A39" s="409" t="s">
        <v>92</v>
      </c>
      <c r="B39" s="390" t="s">
        <v>269</v>
      </c>
      <c r="C39" s="274">
        <v>7844171</v>
      </c>
    </row>
    <row r="40" spans="1:3" s="89" customFormat="1" ht="12" customHeight="1">
      <c r="A40" s="409" t="s">
        <v>93</v>
      </c>
      <c r="B40" s="390" t="s">
        <v>270</v>
      </c>
      <c r="C40" s="274"/>
    </row>
    <row r="41" spans="1:3" s="89" customFormat="1" ht="12" customHeight="1">
      <c r="A41" s="409" t="s">
        <v>173</v>
      </c>
      <c r="B41" s="390" t="s">
        <v>271</v>
      </c>
      <c r="C41" s="274">
        <v>22243200</v>
      </c>
    </row>
    <row r="42" spans="1:3" s="89" customFormat="1" ht="12" customHeight="1">
      <c r="A42" s="409" t="s">
        <v>174</v>
      </c>
      <c r="B42" s="390" t="s">
        <v>272</v>
      </c>
      <c r="C42" s="274">
        <v>13358730</v>
      </c>
    </row>
    <row r="43" spans="1:3" s="89" customFormat="1" ht="12" customHeight="1">
      <c r="A43" s="409" t="s">
        <v>175</v>
      </c>
      <c r="B43" s="390" t="s">
        <v>273</v>
      </c>
      <c r="C43" s="274">
        <v>13413346</v>
      </c>
    </row>
    <row r="44" spans="1:3" s="89" customFormat="1" ht="12" customHeight="1">
      <c r="A44" s="409" t="s">
        <v>176</v>
      </c>
      <c r="B44" s="390" t="s">
        <v>274</v>
      </c>
      <c r="C44" s="274"/>
    </row>
    <row r="45" spans="1:3" s="89" customFormat="1" ht="12" customHeight="1">
      <c r="A45" s="409" t="s">
        <v>177</v>
      </c>
      <c r="B45" s="390" t="s">
        <v>549</v>
      </c>
      <c r="C45" s="274"/>
    </row>
    <row r="46" spans="1:3" s="89" customFormat="1" ht="12" customHeight="1">
      <c r="A46" s="409" t="s">
        <v>266</v>
      </c>
      <c r="B46" s="390" t="s">
        <v>276</v>
      </c>
      <c r="C46" s="277"/>
    </row>
    <row r="47" spans="1:3" s="89" customFormat="1" ht="12" customHeight="1">
      <c r="A47" s="410" t="s">
        <v>267</v>
      </c>
      <c r="B47" s="391" t="s">
        <v>427</v>
      </c>
      <c r="C47" s="377"/>
    </row>
    <row r="48" spans="1:3" s="89" customFormat="1" ht="12" customHeight="1" thickBot="1">
      <c r="A48" s="410" t="s">
        <v>426</v>
      </c>
      <c r="B48" s="391" t="s">
        <v>277</v>
      </c>
      <c r="C48" s="377"/>
    </row>
    <row r="49" spans="1:3" s="89" customFormat="1" ht="12" customHeight="1" thickBot="1">
      <c r="A49" s="31" t="s">
        <v>23</v>
      </c>
      <c r="B49" s="21" t="s">
        <v>278</v>
      </c>
      <c r="C49" s="272">
        <f>SUM(C50:C54)</f>
        <v>0</v>
      </c>
    </row>
    <row r="50" spans="1:3" s="89" customFormat="1" ht="12" customHeight="1">
      <c r="A50" s="408" t="s">
        <v>94</v>
      </c>
      <c r="B50" s="389" t="s">
        <v>282</v>
      </c>
      <c r="C50" s="433"/>
    </row>
    <row r="51" spans="1:3" s="89" customFormat="1" ht="12" customHeight="1">
      <c r="A51" s="409" t="s">
        <v>95</v>
      </c>
      <c r="B51" s="390" t="s">
        <v>283</v>
      </c>
      <c r="C51" s="277"/>
    </row>
    <row r="52" spans="1:3" s="89" customFormat="1" ht="12" customHeight="1">
      <c r="A52" s="409" t="s">
        <v>279</v>
      </c>
      <c r="B52" s="390" t="s">
        <v>284</v>
      </c>
      <c r="C52" s="277"/>
    </row>
    <row r="53" spans="1:3" s="89" customFormat="1" ht="12" customHeight="1">
      <c r="A53" s="409" t="s">
        <v>280</v>
      </c>
      <c r="B53" s="390" t="s">
        <v>285</v>
      </c>
      <c r="C53" s="277"/>
    </row>
    <row r="54" spans="1:3" s="89" customFormat="1" ht="12" customHeight="1" thickBot="1">
      <c r="A54" s="410" t="s">
        <v>281</v>
      </c>
      <c r="B54" s="391" t="s">
        <v>286</v>
      </c>
      <c r="C54" s="377"/>
    </row>
    <row r="55" spans="1:3" s="89" customFormat="1" ht="12" customHeight="1" thickBot="1">
      <c r="A55" s="31" t="s">
        <v>178</v>
      </c>
      <c r="B55" s="21" t="s">
        <v>287</v>
      </c>
      <c r="C55" s="272">
        <f>SUM(C56:C58)</f>
        <v>0</v>
      </c>
    </row>
    <row r="56" spans="1:3" s="89" customFormat="1" ht="12" customHeight="1">
      <c r="A56" s="408" t="s">
        <v>96</v>
      </c>
      <c r="B56" s="389" t="s">
        <v>288</v>
      </c>
      <c r="C56" s="275"/>
    </row>
    <row r="57" spans="1:3" s="89" customFormat="1" ht="12" customHeight="1">
      <c r="A57" s="409" t="s">
        <v>97</v>
      </c>
      <c r="B57" s="390" t="s">
        <v>417</v>
      </c>
      <c r="C57" s="274"/>
    </row>
    <row r="58" spans="1:3" s="89" customFormat="1" ht="12" customHeight="1">
      <c r="A58" s="409" t="s">
        <v>291</v>
      </c>
      <c r="B58" s="390" t="s">
        <v>289</v>
      </c>
      <c r="C58" s="274"/>
    </row>
    <row r="59" spans="1:3" s="89" customFormat="1" ht="12" customHeight="1" thickBot="1">
      <c r="A59" s="410" t="s">
        <v>292</v>
      </c>
      <c r="B59" s="391" t="s">
        <v>290</v>
      </c>
      <c r="C59" s="276"/>
    </row>
    <row r="60" spans="1:3" s="89" customFormat="1" ht="12" customHeight="1" thickBot="1">
      <c r="A60" s="31" t="s">
        <v>25</v>
      </c>
      <c r="B60" s="267" t="s">
        <v>293</v>
      </c>
      <c r="C60" s="272">
        <f>SUM(C61:C63)</f>
        <v>0</v>
      </c>
    </row>
    <row r="61" spans="1:3" s="89" customFormat="1" ht="12" customHeight="1">
      <c r="A61" s="408" t="s">
        <v>179</v>
      </c>
      <c r="B61" s="389" t="s">
        <v>295</v>
      </c>
      <c r="C61" s="277"/>
    </row>
    <row r="62" spans="1:3" s="89" customFormat="1" ht="12" customHeight="1">
      <c r="A62" s="409" t="s">
        <v>180</v>
      </c>
      <c r="B62" s="390" t="s">
        <v>418</v>
      </c>
      <c r="C62" s="277"/>
    </row>
    <row r="63" spans="1:3" s="89" customFormat="1" ht="12" customHeight="1">
      <c r="A63" s="409" t="s">
        <v>224</v>
      </c>
      <c r="B63" s="390" t="s">
        <v>296</v>
      </c>
      <c r="C63" s="277"/>
    </row>
    <row r="64" spans="1:3" s="89" customFormat="1" ht="12" customHeight="1" thickBot="1">
      <c r="A64" s="410" t="s">
        <v>294</v>
      </c>
      <c r="B64" s="391" t="s">
        <v>297</v>
      </c>
      <c r="C64" s="277"/>
    </row>
    <row r="65" spans="1:3" s="89" customFormat="1" ht="12" customHeight="1" thickBot="1">
      <c r="A65" s="31" t="s">
        <v>26</v>
      </c>
      <c r="B65" s="21" t="s">
        <v>298</v>
      </c>
      <c r="C65" s="278">
        <f>+C8+C15+C22+C29+C37+C49+C55+C60</f>
        <v>669397441</v>
      </c>
    </row>
    <row r="66" spans="1:3" s="89" customFormat="1" ht="12" customHeight="1" thickBot="1">
      <c r="A66" s="411" t="s">
        <v>385</v>
      </c>
      <c r="B66" s="267" t="s">
        <v>300</v>
      </c>
      <c r="C66" s="272">
        <f>SUM(C67:C69)</f>
        <v>0</v>
      </c>
    </row>
    <row r="67" spans="1:3" s="89" customFormat="1" ht="12" customHeight="1">
      <c r="A67" s="408" t="s">
        <v>328</v>
      </c>
      <c r="B67" s="389" t="s">
        <v>301</v>
      </c>
      <c r="C67" s="277"/>
    </row>
    <row r="68" spans="1:3" s="89" customFormat="1" ht="12" customHeight="1">
      <c r="A68" s="409" t="s">
        <v>337</v>
      </c>
      <c r="B68" s="390" t="s">
        <v>302</v>
      </c>
      <c r="C68" s="277"/>
    </row>
    <row r="69" spans="1:3" s="89" customFormat="1" ht="12" customHeight="1" thickBot="1">
      <c r="A69" s="410" t="s">
        <v>338</v>
      </c>
      <c r="B69" s="392" t="s">
        <v>303</v>
      </c>
      <c r="C69" s="277"/>
    </row>
    <row r="70" spans="1:3" s="89" customFormat="1" ht="12" customHeight="1" thickBot="1">
      <c r="A70" s="411" t="s">
        <v>304</v>
      </c>
      <c r="B70" s="267" t="s">
        <v>305</v>
      </c>
      <c r="C70" s="272">
        <f>SUM(C71:C74)</f>
        <v>0</v>
      </c>
    </row>
    <row r="71" spans="1:3" s="89" customFormat="1" ht="12" customHeight="1">
      <c r="A71" s="408" t="s">
        <v>147</v>
      </c>
      <c r="B71" s="389" t="s">
        <v>306</v>
      </c>
      <c r="C71" s="277"/>
    </row>
    <row r="72" spans="1:3" s="89" customFormat="1" ht="12" customHeight="1">
      <c r="A72" s="409" t="s">
        <v>148</v>
      </c>
      <c r="B72" s="390" t="s">
        <v>559</v>
      </c>
      <c r="C72" s="277"/>
    </row>
    <row r="73" spans="1:3" s="89" customFormat="1" ht="12" customHeight="1">
      <c r="A73" s="409" t="s">
        <v>329</v>
      </c>
      <c r="B73" s="390" t="s">
        <v>307</v>
      </c>
      <c r="C73" s="277"/>
    </row>
    <row r="74" spans="1:3" s="89" customFormat="1" ht="12" customHeight="1">
      <c r="A74" s="409" t="s">
        <v>330</v>
      </c>
      <c r="B74" s="268" t="s">
        <v>560</v>
      </c>
      <c r="C74" s="277"/>
    </row>
    <row r="75" spans="1:3" s="89" customFormat="1" ht="12" customHeight="1" thickBot="1">
      <c r="A75" s="415" t="s">
        <v>308</v>
      </c>
      <c r="B75" s="546" t="s">
        <v>309</v>
      </c>
      <c r="C75" s="457">
        <f>SUM(C76:C77)</f>
        <v>357586165</v>
      </c>
    </row>
    <row r="76" spans="1:3" s="89" customFormat="1" ht="12" customHeight="1">
      <c r="A76" s="408" t="s">
        <v>331</v>
      </c>
      <c r="B76" s="389" t="s">
        <v>310</v>
      </c>
      <c r="C76" s="277">
        <v>357586165</v>
      </c>
    </row>
    <row r="77" spans="1:3" s="89" customFormat="1" ht="12" customHeight="1" thickBot="1">
      <c r="A77" s="410" t="s">
        <v>332</v>
      </c>
      <c r="B77" s="391" t="s">
        <v>311</v>
      </c>
      <c r="C77" s="277"/>
    </row>
    <row r="78" spans="1:3" s="88" customFormat="1" ht="12" customHeight="1" thickBot="1">
      <c r="A78" s="411" t="s">
        <v>312</v>
      </c>
      <c r="B78" s="267" t="s">
        <v>313</v>
      </c>
      <c r="C78" s="272">
        <f>SUM(C79:C81)</f>
        <v>0</v>
      </c>
    </row>
    <row r="79" spans="1:3" s="89" customFormat="1" ht="12" customHeight="1">
      <c r="A79" s="408" t="s">
        <v>333</v>
      </c>
      <c r="B79" s="389" t="s">
        <v>314</v>
      </c>
      <c r="C79" s="277"/>
    </row>
    <row r="80" spans="1:3" s="89" customFormat="1" ht="12" customHeight="1">
      <c r="A80" s="409" t="s">
        <v>334</v>
      </c>
      <c r="B80" s="390" t="s">
        <v>315</v>
      </c>
      <c r="C80" s="277"/>
    </row>
    <row r="81" spans="1:3" s="89" customFormat="1" ht="12" customHeight="1" thickBot="1">
      <c r="A81" s="410" t="s">
        <v>335</v>
      </c>
      <c r="B81" s="391" t="s">
        <v>561</v>
      </c>
      <c r="C81" s="277"/>
    </row>
    <row r="82" spans="1:3" s="89" customFormat="1" ht="12" customHeight="1" thickBot="1">
      <c r="A82" s="411" t="s">
        <v>316</v>
      </c>
      <c r="B82" s="267" t="s">
        <v>336</v>
      </c>
      <c r="C82" s="272">
        <f>SUM(C83:C86)</f>
        <v>0</v>
      </c>
    </row>
    <row r="83" spans="1:3" s="89" customFormat="1" ht="12" customHeight="1">
      <c r="A83" s="412" t="s">
        <v>317</v>
      </c>
      <c r="B83" s="389" t="s">
        <v>318</v>
      </c>
      <c r="C83" s="277"/>
    </row>
    <row r="84" spans="1:3" s="89" customFormat="1" ht="12" customHeight="1">
      <c r="A84" s="413" t="s">
        <v>319</v>
      </c>
      <c r="B84" s="390" t="s">
        <v>320</v>
      </c>
      <c r="C84" s="277"/>
    </row>
    <row r="85" spans="1:3" s="89" customFormat="1" ht="12" customHeight="1">
      <c r="A85" s="413" t="s">
        <v>321</v>
      </c>
      <c r="B85" s="390" t="s">
        <v>322</v>
      </c>
      <c r="C85" s="277"/>
    </row>
    <row r="86" spans="1:3" s="88" customFormat="1" ht="12" customHeight="1" thickBot="1">
      <c r="A86" s="414" t="s">
        <v>323</v>
      </c>
      <c r="B86" s="391" t="s">
        <v>324</v>
      </c>
      <c r="C86" s="277"/>
    </row>
    <row r="87" spans="1:3" s="88" customFormat="1" ht="12" customHeight="1" thickBot="1">
      <c r="A87" s="411" t="s">
        <v>325</v>
      </c>
      <c r="B87" s="267" t="s">
        <v>466</v>
      </c>
      <c r="C87" s="434"/>
    </row>
    <row r="88" spans="1:3" s="88" customFormat="1" ht="12" customHeight="1" thickBot="1">
      <c r="A88" s="411" t="s">
        <v>498</v>
      </c>
      <c r="B88" s="267" t="s">
        <v>326</v>
      </c>
      <c r="C88" s="434"/>
    </row>
    <row r="89" spans="1:3" s="88" customFormat="1" ht="12" customHeight="1" thickBot="1">
      <c r="A89" s="411" t="s">
        <v>499</v>
      </c>
      <c r="B89" s="396" t="s">
        <v>469</v>
      </c>
      <c r="C89" s="278">
        <f>+C66+C70+C75+C78+C82+C88+C87</f>
        <v>357586165</v>
      </c>
    </row>
    <row r="90" spans="1:3" s="88" customFormat="1" ht="12" customHeight="1" thickBot="1">
      <c r="A90" s="415" t="s">
        <v>500</v>
      </c>
      <c r="B90" s="397" t="s">
        <v>501</v>
      </c>
      <c r="C90" s="278">
        <f>+C65+C89</f>
        <v>1026983606</v>
      </c>
    </row>
    <row r="91" spans="1:3" s="89" customFormat="1" ht="16.5" customHeight="1" thickBot="1">
      <c r="A91" s="214"/>
      <c r="B91" s="215"/>
      <c r="C91" s="337"/>
    </row>
    <row r="92" spans="1:3" s="67" customFormat="1" ht="16.5" customHeight="1" thickBot="1">
      <c r="A92" s="218"/>
      <c r="B92" s="219" t="s">
        <v>57</v>
      </c>
      <c r="C92" s="339"/>
    </row>
    <row r="93" spans="1:3" s="90" customFormat="1" ht="12" customHeight="1" thickBot="1">
      <c r="A93" s="383" t="s">
        <v>18</v>
      </c>
      <c r="B93" s="28" t="s">
        <v>505</v>
      </c>
      <c r="C93" s="271">
        <f>+C94+C95+C96+C97+C98+C111</f>
        <v>751001982</v>
      </c>
    </row>
    <row r="94" spans="1:3" ht="12" customHeight="1">
      <c r="A94" s="416" t="s">
        <v>98</v>
      </c>
      <c r="B94" s="10" t="s">
        <v>49</v>
      </c>
      <c r="C94" s="273">
        <v>55217012</v>
      </c>
    </row>
    <row r="95" spans="1:3" ht="12" customHeight="1">
      <c r="A95" s="409" t="s">
        <v>99</v>
      </c>
      <c r="B95" s="8" t="s">
        <v>181</v>
      </c>
      <c r="C95" s="274">
        <v>8463517</v>
      </c>
    </row>
    <row r="96" spans="1:3" ht="12" customHeight="1">
      <c r="A96" s="409" t="s">
        <v>100</v>
      </c>
      <c r="B96" s="8" t="s">
        <v>138</v>
      </c>
      <c r="C96" s="276">
        <v>233377057</v>
      </c>
    </row>
    <row r="97" spans="1:3" ht="12" customHeight="1">
      <c r="A97" s="409" t="s">
        <v>101</v>
      </c>
      <c r="B97" s="11" t="s">
        <v>182</v>
      </c>
      <c r="C97" s="276">
        <v>8100000</v>
      </c>
    </row>
    <row r="98" spans="1:3" ht="12" customHeight="1">
      <c r="A98" s="409" t="s">
        <v>112</v>
      </c>
      <c r="B98" s="19" t="s">
        <v>183</v>
      </c>
      <c r="C98" s="276">
        <v>269342542</v>
      </c>
    </row>
    <row r="99" spans="1:3" ht="12" customHeight="1">
      <c r="A99" s="409" t="s">
        <v>102</v>
      </c>
      <c r="B99" s="8" t="s">
        <v>502</v>
      </c>
      <c r="C99" s="276"/>
    </row>
    <row r="100" spans="1:3" ht="12" customHeight="1">
      <c r="A100" s="409" t="s">
        <v>103</v>
      </c>
      <c r="B100" s="137" t="s">
        <v>432</v>
      </c>
      <c r="C100" s="276">
        <v>75942023</v>
      </c>
    </row>
    <row r="101" spans="1:3" ht="12" customHeight="1">
      <c r="A101" s="409" t="s">
        <v>113</v>
      </c>
      <c r="B101" s="137" t="s">
        <v>431</v>
      </c>
      <c r="C101" s="276"/>
    </row>
    <row r="102" spans="1:3" ht="12" customHeight="1">
      <c r="A102" s="409" t="s">
        <v>114</v>
      </c>
      <c r="B102" s="137" t="s">
        <v>342</v>
      </c>
      <c r="C102" s="276"/>
    </row>
    <row r="103" spans="1:3" ht="12" customHeight="1">
      <c r="A103" s="409" t="s">
        <v>115</v>
      </c>
      <c r="B103" s="138" t="s">
        <v>343</v>
      </c>
      <c r="C103" s="276"/>
    </row>
    <row r="104" spans="1:3" ht="12" customHeight="1">
      <c r="A104" s="409" t="s">
        <v>116</v>
      </c>
      <c r="B104" s="138" t="s">
        <v>344</v>
      </c>
      <c r="C104" s="276"/>
    </row>
    <row r="105" spans="1:3" ht="12" customHeight="1">
      <c r="A105" s="409" t="s">
        <v>118</v>
      </c>
      <c r="B105" s="137" t="s">
        <v>345</v>
      </c>
      <c r="C105" s="276">
        <v>350000</v>
      </c>
    </row>
    <row r="106" spans="1:3" ht="12" customHeight="1">
      <c r="A106" s="409" t="s">
        <v>184</v>
      </c>
      <c r="B106" s="137" t="s">
        <v>346</v>
      </c>
      <c r="C106" s="276"/>
    </row>
    <row r="107" spans="1:3" ht="12" customHeight="1">
      <c r="A107" s="409" t="s">
        <v>340</v>
      </c>
      <c r="B107" s="138" t="s">
        <v>347</v>
      </c>
      <c r="C107" s="276"/>
    </row>
    <row r="108" spans="1:3" ht="12" customHeight="1">
      <c r="A108" s="417" t="s">
        <v>341</v>
      </c>
      <c r="B108" s="139" t="s">
        <v>348</v>
      </c>
      <c r="C108" s="276"/>
    </row>
    <row r="109" spans="1:3" ht="12" customHeight="1">
      <c r="A109" s="409" t="s">
        <v>429</v>
      </c>
      <c r="B109" s="139" t="s">
        <v>349</v>
      </c>
      <c r="C109" s="276"/>
    </row>
    <row r="110" spans="1:3" ht="12" customHeight="1">
      <c r="A110" s="409" t="s">
        <v>430</v>
      </c>
      <c r="B110" s="138" t="s">
        <v>350</v>
      </c>
      <c r="C110" s="274">
        <v>193050519</v>
      </c>
    </row>
    <row r="111" spans="1:3" ht="12" customHeight="1">
      <c r="A111" s="409" t="s">
        <v>434</v>
      </c>
      <c r="B111" s="11" t="s">
        <v>50</v>
      </c>
      <c r="C111" s="274">
        <v>176501854</v>
      </c>
    </row>
    <row r="112" spans="1:3" ht="12" customHeight="1">
      <c r="A112" s="410" t="s">
        <v>435</v>
      </c>
      <c r="B112" s="8" t="s">
        <v>503</v>
      </c>
      <c r="C112" s="276"/>
    </row>
    <row r="113" spans="1:3" ht="12" customHeight="1" thickBot="1">
      <c r="A113" s="418" t="s">
        <v>436</v>
      </c>
      <c r="B113" s="140" t="s">
        <v>504</v>
      </c>
      <c r="C113" s="280">
        <v>176501854</v>
      </c>
    </row>
    <row r="114" spans="1:3" ht="12" customHeight="1" thickBot="1">
      <c r="A114" s="31" t="s">
        <v>19</v>
      </c>
      <c r="B114" s="27" t="s">
        <v>351</v>
      </c>
      <c r="C114" s="272">
        <f>+C115+C117+C119</f>
        <v>306472463</v>
      </c>
    </row>
    <row r="115" spans="1:3" ht="12" customHeight="1">
      <c r="A115" s="408" t="s">
        <v>104</v>
      </c>
      <c r="B115" s="8" t="s">
        <v>223</v>
      </c>
      <c r="C115" s="275">
        <v>146576167</v>
      </c>
    </row>
    <row r="116" spans="1:3" ht="12" customHeight="1">
      <c r="A116" s="408" t="s">
        <v>105</v>
      </c>
      <c r="B116" s="12" t="s">
        <v>355</v>
      </c>
      <c r="C116" s="275">
        <v>0</v>
      </c>
    </row>
    <row r="117" spans="1:3" ht="12" customHeight="1">
      <c r="A117" s="408" t="s">
        <v>106</v>
      </c>
      <c r="B117" s="12" t="s">
        <v>185</v>
      </c>
      <c r="C117" s="274">
        <v>159896296</v>
      </c>
    </row>
    <row r="118" spans="1:3" ht="12" customHeight="1">
      <c r="A118" s="408" t="s">
        <v>107</v>
      </c>
      <c r="B118" s="12" t="s">
        <v>356</v>
      </c>
      <c r="C118" s="240">
        <v>63310137</v>
      </c>
    </row>
    <row r="119" spans="1:3" ht="12" customHeight="1">
      <c r="A119" s="408" t="s">
        <v>108</v>
      </c>
      <c r="B119" s="269" t="s">
        <v>225</v>
      </c>
      <c r="C119" s="240"/>
    </row>
    <row r="120" spans="1:3" ht="12" customHeight="1">
      <c r="A120" s="408" t="s">
        <v>117</v>
      </c>
      <c r="B120" s="268" t="s">
        <v>419</v>
      </c>
      <c r="C120" s="240"/>
    </row>
    <row r="121" spans="1:3" ht="12" customHeight="1">
      <c r="A121" s="408" t="s">
        <v>119</v>
      </c>
      <c r="B121" s="385" t="s">
        <v>361</v>
      </c>
      <c r="C121" s="240"/>
    </row>
    <row r="122" spans="1:3" ht="12" customHeight="1">
      <c r="A122" s="408" t="s">
        <v>186</v>
      </c>
      <c r="B122" s="138" t="s">
        <v>344</v>
      </c>
      <c r="C122" s="240"/>
    </row>
    <row r="123" spans="1:3" ht="12" customHeight="1">
      <c r="A123" s="408" t="s">
        <v>187</v>
      </c>
      <c r="B123" s="138" t="s">
        <v>360</v>
      </c>
      <c r="C123" s="240"/>
    </row>
    <row r="124" spans="1:3" ht="12" customHeight="1">
      <c r="A124" s="408" t="s">
        <v>188</v>
      </c>
      <c r="B124" s="138" t="s">
        <v>359</v>
      </c>
      <c r="C124" s="240"/>
    </row>
    <row r="125" spans="1:3" ht="12" customHeight="1">
      <c r="A125" s="408" t="s">
        <v>352</v>
      </c>
      <c r="B125" s="138" t="s">
        <v>347</v>
      </c>
      <c r="C125" s="240"/>
    </row>
    <row r="126" spans="1:3" ht="12" customHeight="1">
      <c r="A126" s="408" t="s">
        <v>353</v>
      </c>
      <c r="B126" s="138" t="s">
        <v>358</v>
      </c>
      <c r="C126" s="240"/>
    </row>
    <row r="127" spans="1:3" ht="12" customHeight="1" thickBot="1">
      <c r="A127" s="417" t="s">
        <v>354</v>
      </c>
      <c r="B127" s="138" t="s">
        <v>357</v>
      </c>
      <c r="C127" s="242"/>
    </row>
    <row r="128" spans="1:3" ht="12" customHeight="1" thickBot="1">
      <c r="A128" s="31" t="s">
        <v>20</v>
      </c>
      <c r="B128" s="119" t="s">
        <v>439</v>
      </c>
      <c r="C128" s="272">
        <f>+C93+C114</f>
        <v>1057474445</v>
      </c>
    </row>
    <row r="129" spans="1:3" ht="12" customHeight="1" thickBot="1">
      <c r="A129" s="31" t="s">
        <v>21</v>
      </c>
      <c r="B129" s="119" t="s">
        <v>440</v>
      </c>
      <c r="C129" s="272">
        <f>+C130+C131+C132</f>
        <v>0</v>
      </c>
    </row>
    <row r="130" spans="1:3" s="90" customFormat="1" ht="12" customHeight="1">
      <c r="A130" s="408" t="s">
        <v>261</v>
      </c>
      <c r="B130" s="9" t="s">
        <v>508</v>
      </c>
      <c r="C130" s="240"/>
    </row>
    <row r="131" spans="1:3" ht="12" customHeight="1">
      <c r="A131" s="408" t="s">
        <v>262</v>
      </c>
      <c r="B131" s="9" t="s">
        <v>448</v>
      </c>
      <c r="C131" s="240"/>
    </row>
    <row r="132" spans="1:3" ht="12" customHeight="1" thickBot="1">
      <c r="A132" s="417" t="s">
        <v>263</v>
      </c>
      <c r="B132" s="7" t="s">
        <v>507</v>
      </c>
      <c r="C132" s="240"/>
    </row>
    <row r="133" spans="1:3" ht="12" customHeight="1" thickBot="1">
      <c r="A133" s="31" t="s">
        <v>22</v>
      </c>
      <c r="B133" s="119" t="s">
        <v>441</v>
      </c>
      <c r="C133" s="272">
        <f>+C134+C135+C136+C137+C138+C139</f>
        <v>0</v>
      </c>
    </row>
    <row r="134" spans="1:3" ht="12" customHeight="1">
      <c r="A134" s="408" t="s">
        <v>91</v>
      </c>
      <c r="B134" s="9" t="s">
        <v>450</v>
      </c>
      <c r="C134" s="240"/>
    </row>
    <row r="135" spans="1:3" ht="12" customHeight="1">
      <c r="A135" s="408" t="s">
        <v>92</v>
      </c>
      <c r="B135" s="9" t="s">
        <v>442</v>
      </c>
      <c r="C135" s="240"/>
    </row>
    <row r="136" spans="1:3" ht="12" customHeight="1">
      <c r="A136" s="408" t="s">
        <v>93</v>
      </c>
      <c r="B136" s="9" t="s">
        <v>443</v>
      </c>
      <c r="C136" s="240"/>
    </row>
    <row r="137" spans="1:3" ht="12" customHeight="1">
      <c r="A137" s="408" t="s">
        <v>173</v>
      </c>
      <c r="B137" s="9" t="s">
        <v>506</v>
      </c>
      <c r="C137" s="240"/>
    </row>
    <row r="138" spans="1:3" ht="12" customHeight="1">
      <c r="A138" s="408" t="s">
        <v>174</v>
      </c>
      <c r="B138" s="9" t="s">
        <v>445</v>
      </c>
      <c r="C138" s="240"/>
    </row>
    <row r="139" spans="1:3" s="90" customFormat="1" ht="12" customHeight="1" thickBot="1">
      <c r="A139" s="417" t="s">
        <v>175</v>
      </c>
      <c r="B139" s="7" t="s">
        <v>446</v>
      </c>
      <c r="C139" s="240"/>
    </row>
    <row r="140" spans="1:11" ht="12" customHeight="1" thickBot="1">
      <c r="A140" s="31" t="s">
        <v>23</v>
      </c>
      <c r="B140" s="119" t="s">
        <v>532</v>
      </c>
      <c r="C140" s="278">
        <f>+C141+C142+C144+C145+C143</f>
        <v>939678965</v>
      </c>
      <c r="K140" s="225"/>
    </row>
    <row r="141" spans="1:3" ht="12.75">
      <c r="A141" s="408" t="s">
        <v>94</v>
      </c>
      <c r="B141" s="9" t="s">
        <v>362</v>
      </c>
      <c r="C141" s="240"/>
    </row>
    <row r="142" spans="1:3" ht="12" customHeight="1">
      <c r="A142" s="408" t="s">
        <v>95</v>
      </c>
      <c r="B142" s="9" t="s">
        <v>363</v>
      </c>
      <c r="C142" s="240">
        <v>19897658</v>
      </c>
    </row>
    <row r="143" spans="1:3" s="90" customFormat="1" ht="12" customHeight="1">
      <c r="A143" s="408" t="s">
        <v>279</v>
      </c>
      <c r="B143" s="9" t="s">
        <v>531</v>
      </c>
      <c r="C143" s="240">
        <v>919781307</v>
      </c>
    </row>
    <row r="144" spans="1:3" s="90" customFormat="1" ht="12" customHeight="1">
      <c r="A144" s="408" t="s">
        <v>280</v>
      </c>
      <c r="B144" s="9" t="s">
        <v>455</v>
      </c>
      <c r="C144" s="240"/>
    </row>
    <row r="145" spans="1:3" s="90" customFormat="1" ht="12" customHeight="1" thickBot="1">
      <c r="A145" s="417" t="s">
        <v>281</v>
      </c>
      <c r="B145" s="7" t="s">
        <v>381</v>
      </c>
      <c r="C145" s="240"/>
    </row>
    <row r="146" spans="1:3" s="90" customFormat="1" ht="12" customHeight="1" thickBot="1">
      <c r="A146" s="31" t="s">
        <v>24</v>
      </c>
      <c r="B146" s="119" t="s">
        <v>456</v>
      </c>
      <c r="C146" s="281">
        <f>+C147+C148+C149+C150+C151</f>
        <v>0</v>
      </c>
    </row>
    <row r="147" spans="1:3" s="90" customFormat="1" ht="12" customHeight="1">
      <c r="A147" s="408" t="s">
        <v>96</v>
      </c>
      <c r="B147" s="9" t="s">
        <v>451</v>
      </c>
      <c r="C147" s="240"/>
    </row>
    <row r="148" spans="1:3" s="90" customFormat="1" ht="12" customHeight="1">
      <c r="A148" s="408" t="s">
        <v>97</v>
      </c>
      <c r="B148" s="9" t="s">
        <v>458</v>
      </c>
      <c r="C148" s="240"/>
    </row>
    <row r="149" spans="1:3" s="90" customFormat="1" ht="12" customHeight="1">
      <c r="A149" s="408" t="s">
        <v>291</v>
      </c>
      <c r="B149" s="9" t="s">
        <v>453</v>
      </c>
      <c r="C149" s="240"/>
    </row>
    <row r="150" spans="1:3" ht="12.75" customHeight="1">
      <c r="A150" s="408" t="s">
        <v>292</v>
      </c>
      <c r="B150" s="9" t="s">
        <v>509</v>
      </c>
      <c r="C150" s="240"/>
    </row>
    <row r="151" spans="1:3" ht="12.75" customHeight="1" thickBot="1">
      <c r="A151" s="417" t="s">
        <v>457</v>
      </c>
      <c r="B151" s="7" t="s">
        <v>460</v>
      </c>
      <c r="C151" s="242"/>
    </row>
    <row r="152" spans="1:3" ht="12.75" customHeight="1" thickBot="1">
      <c r="A152" s="462" t="s">
        <v>25</v>
      </c>
      <c r="B152" s="119" t="s">
        <v>461</v>
      </c>
      <c r="C152" s="281"/>
    </row>
    <row r="153" spans="1:3" ht="12" customHeight="1" thickBot="1">
      <c r="A153" s="462" t="s">
        <v>26</v>
      </c>
      <c r="B153" s="119" t="s">
        <v>462</v>
      </c>
      <c r="C153" s="281"/>
    </row>
    <row r="154" spans="1:3" ht="15" customHeight="1" thickBot="1">
      <c r="A154" s="31" t="s">
        <v>27</v>
      </c>
      <c r="B154" s="119" t="s">
        <v>464</v>
      </c>
      <c r="C154" s="399">
        <f>+C129+C133+C140+C146+C152+C153</f>
        <v>939678965</v>
      </c>
    </row>
    <row r="155" spans="1:3" ht="13.5" thickBot="1">
      <c r="A155" s="419" t="s">
        <v>28</v>
      </c>
      <c r="B155" s="354" t="s">
        <v>463</v>
      </c>
      <c r="C155" s="399">
        <f>+C128+C154</f>
        <v>1997153410</v>
      </c>
    </row>
    <row r="156" spans="1:3" ht="15.75" customHeight="1" thickBot="1">
      <c r="A156" s="362"/>
      <c r="B156" s="363"/>
      <c r="C156" s="586"/>
    </row>
    <row r="157" spans="1:3" ht="14.25" customHeight="1" thickBot="1">
      <c r="A157" s="223" t="s">
        <v>510</v>
      </c>
      <c r="B157" s="224"/>
      <c r="C157" s="116">
        <v>7</v>
      </c>
    </row>
    <row r="158" spans="1:3" ht="13.5" thickBot="1">
      <c r="A158" s="223" t="s">
        <v>202</v>
      </c>
      <c r="B158" s="224"/>
      <c r="C158" s="116">
        <v>0</v>
      </c>
    </row>
    <row r="159" spans="1:3" ht="12.75">
      <c r="A159" s="583"/>
      <c r="B159" s="584"/>
      <c r="C159" s="585"/>
    </row>
    <row r="160" spans="1:2" ht="12.75">
      <c r="A160" s="583"/>
      <c r="B160" s="584"/>
    </row>
    <row r="161" spans="1:3" ht="12.75">
      <c r="A161" s="583"/>
      <c r="B161" s="584"/>
      <c r="C161" s="585"/>
    </row>
    <row r="162" spans="1:3" ht="12.75">
      <c r="A162" s="583"/>
      <c r="B162" s="584"/>
      <c r="C162" s="585"/>
    </row>
    <row r="163" spans="1:3" ht="12.75">
      <c r="A163" s="583"/>
      <c r="B163" s="584"/>
      <c r="C163" s="585"/>
    </row>
    <row r="164" spans="1:3" ht="12.75">
      <c r="A164" s="583"/>
      <c r="B164" s="584"/>
      <c r="C164" s="585"/>
    </row>
    <row r="165" spans="1:3" ht="12.75">
      <c r="A165" s="583"/>
      <c r="B165" s="584"/>
      <c r="C165" s="585"/>
    </row>
    <row r="166" spans="1:3" ht="12.75">
      <c r="A166" s="583"/>
      <c r="B166" s="584"/>
      <c r="C166" s="585"/>
    </row>
    <row r="167" spans="1:3" ht="12.75">
      <c r="A167" s="583"/>
      <c r="B167" s="584"/>
      <c r="C167" s="585"/>
    </row>
    <row r="168" spans="1:3" ht="12.75">
      <c r="A168" s="583"/>
      <c r="B168" s="584"/>
      <c r="C168" s="585"/>
    </row>
    <row r="169" spans="1:3" ht="12.75">
      <c r="A169" s="583"/>
      <c r="B169" s="584"/>
      <c r="C169" s="585"/>
    </row>
    <row r="170" spans="1:3" ht="12.75">
      <c r="A170" s="583"/>
      <c r="B170" s="584"/>
      <c r="C170" s="585"/>
    </row>
    <row r="171" spans="1:3" ht="12.75">
      <c r="A171" s="583"/>
      <c r="B171" s="584"/>
      <c r="C171" s="585"/>
    </row>
    <row r="172" spans="1:3" ht="12.75">
      <c r="A172" s="583"/>
      <c r="B172" s="584"/>
      <c r="C172" s="585"/>
    </row>
    <row r="173" spans="1:3" ht="12.75">
      <c r="A173" s="583"/>
      <c r="B173" s="584"/>
      <c r="C173" s="585"/>
    </row>
    <row r="174" spans="1:3" ht="12.75">
      <c r="A174" s="583"/>
      <c r="B174" s="584"/>
      <c r="C174" s="585"/>
    </row>
    <row r="175" spans="1:3" ht="12.75">
      <c r="A175" s="583"/>
      <c r="B175" s="584"/>
      <c r="C175" s="585"/>
    </row>
    <row r="176" spans="1:3" ht="12.75">
      <c r="A176" s="583"/>
      <c r="B176" s="584"/>
      <c r="C176" s="585"/>
    </row>
    <row r="177" spans="1:3" ht="12.75">
      <c r="A177" s="583"/>
      <c r="B177" s="584"/>
      <c r="C177" s="585"/>
    </row>
    <row r="178" spans="1:3" ht="12.75">
      <c r="A178" s="583"/>
      <c r="B178" s="584"/>
      <c r="C178" s="58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="120" zoomScaleNormal="120" zoomScalePageLayoutView="0" workbookViewId="0" topLeftCell="A1">
      <selection activeCell="A32" sqref="A32"/>
    </sheetView>
  </sheetViews>
  <sheetFormatPr defaultColWidth="9.00390625" defaultRowHeight="12.75"/>
  <cols>
    <col min="1" max="1" width="33.50390625" style="0" customWidth="1"/>
    <col min="2" max="2" width="18.875" style="0" customWidth="1"/>
    <col min="3" max="3" width="1.875" style="0" bestFit="1" customWidth="1"/>
    <col min="4" max="4" width="6.00390625" style="0" bestFit="1" customWidth="1"/>
    <col min="5" max="5" width="1.875" style="0" bestFit="1" customWidth="1"/>
    <col min="6" max="6" width="11.00390625" style="0" customWidth="1"/>
    <col min="11" max="11" width="12.375" style="0" customWidth="1"/>
    <col min="13" max="16" width="0" style="0" hidden="1" customWidth="1"/>
  </cols>
  <sheetData>
    <row r="1" spans="1:12" ht="18">
      <c r="A1" s="731" t="s">
        <v>573</v>
      </c>
      <c r="B1" s="731"/>
      <c r="C1" s="731"/>
      <c r="D1" s="731"/>
      <c r="E1" s="731"/>
      <c r="F1" s="731"/>
      <c r="G1" s="731"/>
      <c r="H1" s="731"/>
      <c r="I1" s="731"/>
      <c r="J1" s="731"/>
      <c r="K1" s="622"/>
      <c r="L1" s="622"/>
    </row>
    <row r="2" spans="1:12" ht="12.7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</row>
    <row r="3" spans="1:12" ht="15.75">
      <c r="A3" s="730" t="s">
        <v>659</v>
      </c>
      <c r="B3" s="730"/>
      <c r="C3" s="730"/>
      <c r="D3" s="730"/>
      <c r="E3" s="730"/>
      <c r="F3" s="730"/>
      <c r="G3" s="730"/>
      <c r="H3" s="730"/>
      <c r="I3" s="730"/>
      <c r="J3" s="730"/>
      <c r="K3" s="622"/>
      <c r="L3" s="622"/>
    </row>
    <row r="4" spans="1:12" ht="12.75">
      <c r="A4" s="622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</row>
    <row r="5" spans="1:12" ht="12.75">
      <c r="A5" s="622"/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</row>
    <row r="6" spans="1:12" ht="14.25">
      <c r="A6" s="691" t="s">
        <v>637</v>
      </c>
      <c r="B6" s="622"/>
      <c r="C6" s="622"/>
      <c r="D6" s="622"/>
      <c r="E6" s="622"/>
      <c r="F6" s="622"/>
      <c r="G6" s="622"/>
      <c r="H6" s="622"/>
      <c r="I6" s="622"/>
      <c r="J6" s="622"/>
      <c r="K6" s="622"/>
      <c r="L6" s="622"/>
    </row>
    <row r="7" spans="1:12" ht="12.75">
      <c r="A7" s="670" t="s">
        <v>623</v>
      </c>
      <c r="B7" s="689" t="s">
        <v>622</v>
      </c>
      <c r="C7" s="154" t="s">
        <v>619</v>
      </c>
      <c r="D7" s="154">
        <f>TARTALOMJEGYZÉK!A1</f>
        <v>2021</v>
      </c>
      <c r="E7" s="154" t="s">
        <v>620</v>
      </c>
      <c r="F7" s="689" t="s">
        <v>622</v>
      </c>
      <c r="G7" s="154" t="s">
        <v>621</v>
      </c>
      <c r="H7" s="154" t="s">
        <v>624</v>
      </c>
      <c r="I7" s="154"/>
      <c r="J7" s="154"/>
      <c r="K7" s="154"/>
      <c r="L7" s="622"/>
    </row>
    <row r="8" spans="1:12" ht="12.75">
      <c r="A8" s="692"/>
      <c r="B8" s="690"/>
      <c r="C8" s="622"/>
      <c r="D8" s="622"/>
      <c r="E8" s="622"/>
      <c r="F8" s="690"/>
      <c r="G8" s="622"/>
      <c r="H8" s="622"/>
      <c r="I8" s="622"/>
      <c r="J8" s="622"/>
      <c r="K8" s="622"/>
      <c r="L8" s="622"/>
    </row>
    <row r="9" spans="1:12" ht="12.75">
      <c r="A9" s="692"/>
      <c r="B9" s="690"/>
      <c r="C9" s="622"/>
      <c r="D9" s="622"/>
      <c r="E9" s="622"/>
      <c r="F9" s="690"/>
      <c r="G9" s="622"/>
      <c r="H9" s="622"/>
      <c r="I9" s="622"/>
      <c r="J9" s="622"/>
      <c r="K9" s="622"/>
      <c r="L9" s="622"/>
    </row>
    <row r="10" spans="1:12" ht="13.5" thickBot="1">
      <c r="A10" s="622"/>
      <c r="B10" s="622"/>
      <c r="C10" s="622"/>
      <c r="D10" s="622"/>
      <c r="E10" s="622"/>
      <c r="F10" s="622"/>
      <c r="G10" s="622"/>
      <c r="H10" s="622"/>
      <c r="I10" s="622"/>
      <c r="J10" s="622"/>
      <c r="K10" s="646" t="s">
        <v>641</v>
      </c>
      <c r="L10" s="622"/>
    </row>
    <row r="11" spans="1:16" ht="17.25" thickBot="1" thickTop="1">
      <c r="A11" s="730" t="s">
        <v>660</v>
      </c>
      <c r="B11" s="734"/>
      <c r="C11" s="734"/>
      <c r="D11" s="734"/>
      <c r="E11" s="734"/>
      <c r="F11" s="734"/>
      <c r="G11" s="734"/>
      <c r="H11" s="735"/>
      <c r="I11" s="735"/>
      <c r="J11" s="735"/>
      <c r="K11" s="693" t="s">
        <v>650</v>
      </c>
      <c r="L11" s="622"/>
      <c r="M11" s="647" t="s">
        <v>26</v>
      </c>
      <c r="N11">
        <f>IF($K$11="Nem","",2)</f>
        <v>2</v>
      </c>
      <c r="O11" t="s">
        <v>642</v>
      </c>
      <c r="P11" t="str">
        <f>CONCATENATE(M11,N11,O11)</f>
        <v>9.2.</v>
      </c>
    </row>
    <row r="12" spans="1:12" ht="13.5" thickTop="1">
      <c r="A12" s="622"/>
      <c r="B12" s="622"/>
      <c r="C12" s="622"/>
      <c r="D12" s="622"/>
      <c r="E12" s="622"/>
      <c r="F12" s="622"/>
      <c r="G12" s="622"/>
      <c r="H12" s="622"/>
      <c r="I12" s="622"/>
      <c r="J12" s="622"/>
      <c r="K12" s="622"/>
      <c r="L12" s="622"/>
    </row>
    <row r="13" spans="1:16" ht="14.25">
      <c r="A13" s="694" t="s">
        <v>574</v>
      </c>
      <c r="B13" s="732" t="s">
        <v>661</v>
      </c>
      <c r="C13" s="733"/>
      <c r="D13" s="733"/>
      <c r="E13" s="733"/>
      <c r="F13" s="733"/>
      <c r="G13" s="733"/>
      <c r="H13" s="733"/>
      <c r="I13" s="733"/>
      <c r="J13" s="733"/>
      <c r="K13" s="622"/>
      <c r="L13" s="622"/>
      <c r="M13" s="647" t="s">
        <v>26</v>
      </c>
      <c r="N13">
        <f>IF(K11="Nem",2,3)</f>
        <v>3</v>
      </c>
      <c r="O13" t="s">
        <v>642</v>
      </c>
      <c r="P13" t="str">
        <f>CONCATENATE(M13,N13,O13)</f>
        <v>9.3.</v>
      </c>
    </row>
    <row r="14" spans="1:12" ht="14.25">
      <c r="A14" s="622"/>
      <c r="B14" s="623"/>
      <c r="C14" s="622"/>
      <c r="D14" s="622"/>
      <c r="E14" s="622"/>
      <c r="F14" s="622"/>
      <c r="G14" s="622"/>
      <c r="H14" s="622"/>
      <c r="I14" s="622"/>
      <c r="J14" s="622"/>
      <c r="K14" s="622"/>
      <c r="L14" s="622"/>
    </row>
    <row r="15" spans="1:16" ht="14.25">
      <c r="A15" s="694" t="s">
        <v>575</v>
      </c>
      <c r="B15" s="732" t="s">
        <v>662</v>
      </c>
      <c r="C15" s="733"/>
      <c r="D15" s="733"/>
      <c r="E15" s="733"/>
      <c r="F15" s="733"/>
      <c r="G15" s="733"/>
      <c r="H15" s="733"/>
      <c r="I15" s="733"/>
      <c r="J15" s="733"/>
      <c r="K15" s="622"/>
      <c r="L15" s="622"/>
      <c r="M15" s="647" t="s">
        <v>26</v>
      </c>
      <c r="N15">
        <f>N13+1</f>
        <v>4</v>
      </c>
      <c r="O15" t="s">
        <v>642</v>
      </c>
      <c r="P15" t="str">
        <f>CONCATENATE(M15,N15,O15)</f>
        <v>9.4.</v>
      </c>
    </row>
    <row r="16" spans="1:12" ht="14.25">
      <c r="A16" s="622"/>
      <c r="B16" s="623"/>
      <c r="C16" s="622"/>
      <c r="D16" s="622"/>
      <c r="E16" s="622"/>
      <c r="F16" s="622"/>
      <c r="G16" s="622"/>
      <c r="H16" s="622"/>
      <c r="I16" s="622"/>
      <c r="J16" s="622"/>
      <c r="K16" s="622"/>
      <c r="L16" s="622"/>
    </row>
    <row r="17" spans="1:16" ht="14.25">
      <c r="A17" s="694" t="s">
        <v>576</v>
      </c>
      <c r="B17" s="732" t="s">
        <v>663</v>
      </c>
      <c r="C17" s="733"/>
      <c r="D17" s="733"/>
      <c r="E17" s="733"/>
      <c r="F17" s="733"/>
      <c r="G17" s="733"/>
      <c r="H17" s="733"/>
      <c r="I17" s="733"/>
      <c r="J17" s="733"/>
      <c r="K17" s="622"/>
      <c r="L17" s="622"/>
      <c r="M17" s="647" t="s">
        <v>26</v>
      </c>
      <c r="N17">
        <f>N15+1</f>
        <v>5</v>
      </c>
      <c r="O17" t="s">
        <v>642</v>
      </c>
      <c r="P17" t="str">
        <f>CONCATENATE(M17,N17,O17)</f>
        <v>9.5.</v>
      </c>
    </row>
    <row r="18" spans="1:12" ht="14.25">
      <c r="A18" s="622"/>
      <c r="B18" s="623"/>
      <c r="C18" s="622"/>
      <c r="D18" s="622"/>
      <c r="E18" s="622"/>
      <c r="F18" s="622"/>
      <c r="G18" s="622"/>
      <c r="H18" s="622"/>
      <c r="I18" s="622"/>
      <c r="J18" s="622"/>
      <c r="K18" s="622"/>
      <c r="L18" s="622"/>
    </row>
    <row r="19" spans="1:16" ht="14.25">
      <c r="A19" s="694"/>
      <c r="B19" s="732"/>
      <c r="C19" s="733"/>
      <c r="D19" s="733"/>
      <c r="E19" s="733"/>
      <c r="F19" s="733"/>
      <c r="G19" s="733"/>
      <c r="H19" s="733"/>
      <c r="I19" s="733"/>
      <c r="J19" s="733"/>
      <c r="K19" s="622"/>
      <c r="L19" s="622"/>
      <c r="M19" s="647" t="s">
        <v>26</v>
      </c>
      <c r="N19">
        <f>N17+1</f>
        <v>6</v>
      </c>
      <c r="O19" t="s">
        <v>642</v>
      </c>
      <c r="P19" t="str">
        <f>CONCATENATE(M19,N19,O19)</f>
        <v>9.6.</v>
      </c>
    </row>
    <row r="20" spans="1:12" ht="14.25">
      <c r="A20" s="622"/>
      <c r="B20" s="623"/>
      <c r="C20" s="622"/>
      <c r="D20" s="622"/>
      <c r="E20" s="622"/>
      <c r="F20" s="622"/>
      <c r="G20" s="622"/>
      <c r="H20" s="622"/>
      <c r="I20" s="622"/>
      <c r="J20" s="622"/>
      <c r="K20" s="622"/>
      <c r="L20" s="622"/>
    </row>
    <row r="21" spans="1:16" ht="14.25">
      <c r="A21" s="694"/>
      <c r="B21" s="732"/>
      <c r="C21" s="733"/>
      <c r="D21" s="733"/>
      <c r="E21" s="733"/>
      <c r="F21" s="733"/>
      <c r="G21" s="733"/>
      <c r="H21" s="733"/>
      <c r="I21" s="733"/>
      <c r="J21" s="733"/>
      <c r="K21" s="622"/>
      <c r="L21" s="622"/>
      <c r="M21" s="647" t="s">
        <v>26</v>
      </c>
      <c r="N21">
        <f>N19+1</f>
        <v>7</v>
      </c>
      <c r="O21" t="s">
        <v>642</v>
      </c>
      <c r="P21" t="str">
        <f>CONCATENATE(M21,N21,O21)</f>
        <v>9.7.</v>
      </c>
    </row>
    <row r="22" spans="1:12" ht="14.25">
      <c r="A22" s="622"/>
      <c r="B22" s="623"/>
      <c r="C22" s="622"/>
      <c r="D22" s="622"/>
      <c r="E22" s="622"/>
      <c r="F22" s="622"/>
      <c r="G22" s="622"/>
      <c r="H22" s="622"/>
      <c r="I22" s="622"/>
      <c r="J22" s="622"/>
      <c r="K22" s="622"/>
      <c r="L22" s="622"/>
    </row>
    <row r="23" spans="1:16" ht="14.25">
      <c r="A23" s="694"/>
      <c r="B23" s="732"/>
      <c r="C23" s="733"/>
      <c r="D23" s="733"/>
      <c r="E23" s="733"/>
      <c r="F23" s="733"/>
      <c r="G23" s="733"/>
      <c r="H23" s="733"/>
      <c r="I23" s="733"/>
      <c r="J23" s="733"/>
      <c r="K23" s="622"/>
      <c r="L23" s="622"/>
      <c r="M23" s="647" t="s">
        <v>26</v>
      </c>
      <c r="N23">
        <f>N21+1</f>
        <v>8</v>
      </c>
      <c r="O23" t="s">
        <v>642</v>
      </c>
      <c r="P23" t="str">
        <f>CONCATENATE(M23,N23,O23)</f>
        <v>9.8.</v>
      </c>
    </row>
    <row r="24" spans="1:12" ht="14.25">
      <c r="A24" s="622"/>
      <c r="B24" s="623"/>
      <c r="C24" s="622"/>
      <c r="D24" s="622"/>
      <c r="E24" s="622"/>
      <c r="F24" s="622"/>
      <c r="G24" s="622"/>
      <c r="H24" s="622"/>
      <c r="I24" s="622"/>
      <c r="J24" s="622"/>
      <c r="K24" s="622"/>
      <c r="L24" s="622"/>
    </row>
    <row r="25" spans="1:16" ht="14.25">
      <c r="A25" s="694"/>
      <c r="B25" s="732"/>
      <c r="C25" s="733"/>
      <c r="D25" s="733"/>
      <c r="E25" s="733"/>
      <c r="F25" s="733"/>
      <c r="G25" s="733"/>
      <c r="H25" s="733"/>
      <c r="I25" s="733"/>
      <c r="J25" s="733"/>
      <c r="K25" s="622"/>
      <c r="L25" s="622"/>
      <c r="M25" s="647" t="s">
        <v>26</v>
      </c>
      <c r="N25">
        <f>N23+1</f>
        <v>9</v>
      </c>
      <c r="O25" t="s">
        <v>642</v>
      </c>
      <c r="P25" t="str">
        <f>CONCATENATE(M25,N25,O25)</f>
        <v>9.9.</v>
      </c>
    </row>
    <row r="26" spans="1:12" ht="14.25">
      <c r="A26" s="622"/>
      <c r="B26" s="623"/>
      <c r="C26" s="622"/>
      <c r="D26" s="622"/>
      <c r="E26" s="622"/>
      <c r="F26" s="622"/>
      <c r="G26" s="622"/>
      <c r="H26" s="622"/>
      <c r="I26" s="622"/>
      <c r="J26" s="622"/>
      <c r="K26" s="622"/>
      <c r="L26" s="622"/>
    </row>
    <row r="27" spans="1:16" ht="14.25">
      <c r="A27" s="694"/>
      <c r="B27" s="732"/>
      <c r="C27" s="733"/>
      <c r="D27" s="733"/>
      <c r="E27" s="733"/>
      <c r="F27" s="733"/>
      <c r="G27" s="733"/>
      <c r="H27" s="733"/>
      <c r="I27" s="733"/>
      <c r="J27" s="733"/>
      <c r="K27" s="622"/>
      <c r="L27" s="622"/>
      <c r="M27" s="647" t="s">
        <v>26</v>
      </c>
      <c r="N27">
        <f>N25+1</f>
        <v>10</v>
      </c>
      <c r="O27" t="s">
        <v>642</v>
      </c>
      <c r="P27" t="str">
        <f>CONCATENATE(M27,N27,O27)</f>
        <v>9.10.</v>
      </c>
    </row>
    <row r="28" spans="1:12" ht="14.25">
      <c r="A28" s="622"/>
      <c r="B28" s="623"/>
      <c r="C28" s="622"/>
      <c r="D28" s="622"/>
      <c r="E28" s="622"/>
      <c r="F28" s="622"/>
      <c r="G28" s="622"/>
      <c r="H28" s="622"/>
      <c r="I28" s="622"/>
      <c r="J28" s="622"/>
      <c r="K28" s="622"/>
      <c r="L28" s="622"/>
    </row>
    <row r="29" spans="1:16" ht="14.25">
      <c r="A29" s="694"/>
      <c r="B29" s="732"/>
      <c r="C29" s="733"/>
      <c r="D29" s="733"/>
      <c r="E29" s="733"/>
      <c r="F29" s="733"/>
      <c r="G29" s="733"/>
      <c r="H29" s="733"/>
      <c r="I29" s="733"/>
      <c r="J29" s="733"/>
      <c r="K29" s="622"/>
      <c r="L29" s="622"/>
      <c r="M29" s="647" t="s">
        <v>26</v>
      </c>
      <c r="N29">
        <f>N27+1</f>
        <v>11</v>
      </c>
      <c r="O29" t="s">
        <v>642</v>
      </c>
      <c r="P29" t="str">
        <f>CONCATENATE(M29,N29,O29)</f>
        <v>9.11.</v>
      </c>
    </row>
    <row r="30" spans="1:12" ht="14.25">
      <c r="A30" s="622"/>
      <c r="B30" s="623"/>
      <c r="C30" s="622"/>
      <c r="D30" s="622"/>
      <c r="E30" s="622"/>
      <c r="F30" s="622"/>
      <c r="G30" s="622"/>
      <c r="H30" s="622"/>
      <c r="I30" s="622"/>
      <c r="J30" s="622"/>
      <c r="K30" s="622"/>
      <c r="L30" s="622"/>
    </row>
    <row r="31" spans="1:16" ht="14.25">
      <c r="A31" s="694"/>
      <c r="B31" s="732"/>
      <c r="C31" s="733"/>
      <c r="D31" s="733"/>
      <c r="E31" s="733"/>
      <c r="F31" s="733"/>
      <c r="G31" s="733"/>
      <c r="H31" s="733"/>
      <c r="I31" s="733"/>
      <c r="J31" s="733"/>
      <c r="K31" s="622"/>
      <c r="L31" s="622"/>
      <c r="M31" s="647" t="s">
        <v>26</v>
      </c>
      <c r="N31">
        <f>N29+1</f>
        <v>12</v>
      </c>
      <c r="O31" t="s">
        <v>642</v>
      </c>
      <c r="P31" t="str">
        <f>CONCATENATE(M31,N31,O31)</f>
        <v>9.12.</v>
      </c>
    </row>
    <row r="32" spans="1:12" ht="12.75">
      <c r="A32" s="622"/>
      <c r="B32" s="622"/>
      <c r="C32" s="622"/>
      <c r="D32" s="622"/>
      <c r="E32" s="622"/>
      <c r="F32" s="622"/>
      <c r="G32" s="622"/>
      <c r="H32" s="622"/>
      <c r="I32" s="622"/>
      <c r="J32" s="622"/>
      <c r="K32" s="622"/>
      <c r="L32" s="622"/>
    </row>
    <row r="33" spans="1:12" ht="14.25">
      <c r="A33" s="694"/>
      <c r="B33" s="622"/>
      <c r="C33" s="622"/>
      <c r="D33" s="622"/>
      <c r="E33" s="622"/>
      <c r="F33" s="622"/>
      <c r="G33" s="622"/>
      <c r="H33" s="622"/>
      <c r="I33" s="622"/>
      <c r="J33" s="622"/>
      <c r="K33" s="622"/>
      <c r="L33" s="622"/>
    </row>
    <row r="34" spans="1:12" ht="12.75">
      <c r="A34" s="622"/>
      <c r="B34" s="622"/>
      <c r="C34" s="622"/>
      <c r="D34" s="622"/>
      <c r="E34" s="622"/>
      <c r="F34" s="622"/>
      <c r="G34" s="622"/>
      <c r="H34" s="622"/>
      <c r="I34" s="622"/>
      <c r="J34" s="622"/>
      <c r="K34" s="622"/>
      <c r="L34" s="622"/>
    </row>
  </sheetData>
  <sheetProtection sheet="1"/>
  <mergeCells count="13">
    <mergeCell ref="B31:J31"/>
    <mergeCell ref="B13:J13"/>
    <mergeCell ref="B15:J15"/>
    <mergeCell ref="B17:J17"/>
    <mergeCell ref="B19:J19"/>
    <mergeCell ref="A11:J11"/>
    <mergeCell ref="B29:J29"/>
    <mergeCell ref="A3:J3"/>
    <mergeCell ref="A1:J1"/>
    <mergeCell ref="B21:J21"/>
    <mergeCell ref="B23:J23"/>
    <mergeCell ref="B25:J25"/>
    <mergeCell ref="B27:J27"/>
  </mergeCells>
  <conditionalFormatting sqref="A11:J11">
    <cfRule type="expression" priority="1" dxfId="4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K178"/>
  <sheetViews>
    <sheetView zoomScale="120" zoomScaleNormal="120" zoomScaleSheetLayoutView="85" workbookViewId="0" topLeftCell="A86">
      <selection activeCell="E36" sqref="E36"/>
    </sheetView>
  </sheetViews>
  <sheetFormatPr defaultColWidth="9.00390625" defaultRowHeight="12.75"/>
  <cols>
    <col min="1" max="1" width="19.50390625" style="364" customWidth="1"/>
    <col min="2" max="2" width="72.00390625" style="365" customWidth="1"/>
    <col min="3" max="3" width="25.00390625" style="366" customWidth="1"/>
    <col min="4" max="16384" width="9.375" style="3" customWidth="1"/>
  </cols>
  <sheetData>
    <row r="1" spans="1:3" s="2" customFormat="1" ht="16.5" customHeight="1" thickBot="1">
      <c r="A1" s="564"/>
      <c r="B1" s="565"/>
      <c r="C1" s="561" t="str">
        <f>CONCATENATE("9.1.2. melléklet ",ALAPADATOK!A7," ",ALAPADATOK!B7," ",ALAPADATOK!C7," ",ALAPADATOK!D7," ",ALAPADATOK!E7," ",ALAPADATOK!F7," ",ALAPADATOK!G7," ",ALAPADATOK!H7)</f>
        <v>9.1.2. melléklet a … / 2021 ( … ) önkormányzati rendelethez</v>
      </c>
    </row>
    <row r="2" spans="1:3" s="86" customFormat="1" ht="21" customHeight="1">
      <c r="A2" s="566" t="s">
        <v>61</v>
      </c>
      <c r="B2" s="567" t="str">
        <f>CONCATENATE(ALAPADATOK!A3)</f>
        <v>SOLYMÁR NAGYKÖZSÉG ÖNKORMÁNYZATA</v>
      </c>
      <c r="C2" s="568" t="s">
        <v>54</v>
      </c>
    </row>
    <row r="3" spans="1:3" s="86" customFormat="1" ht="16.5" thickBot="1">
      <c r="A3" s="569" t="s">
        <v>199</v>
      </c>
      <c r="B3" s="570" t="s">
        <v>421</v>
      </c>
      <c r="C3" s="571" t="s">
        <v>60</v>
      </c>
    </row>
    <row r="4" spans="1:3" s="87" customFormat="1" ht="22.5" customHeight="1" thickBot="1">
      <c r="A4" s="572"/>
      <c r="B4" s="572"/>
      <c r="C4" s="573" t="str">
        <f>'KV_9.1.1.sz.mell'!C4</f>
        <v>Forintban!</v>
      </c>
    </row>
    <row r="5" spans="1:3" ht="13.5" thickBot="1">
      <c r="A5" s="574" t="s">
        <v>201</v>
      </c>
      <c r="B5" s="575" t="s">
        <v>553</v>
      </c>
      <c r="C5" s="576" t="s">
        <v>55</v>
      </c>
    </row>
    <row r="6" spans="1:3" s="67" customFormat="1" ht="12.75" customHeight="1" thickBot="1">
      <c r="A6" s="577"/>
      <c r="B6" s="578" t="s">
        <v>484</v>
      </c>
      <c r="C6" s="579" t="s">
        <v>485</v>
      </c>
    </row>
    <row r="7" spans="1:3" s="67" customFormat="1" ht="15.75" customHeight="1" thickBot="1">
      <c r="A7" s="208"/>
      <c r="B7" s="209" t="s">
        <v>56</v>
      </c>
      <c r="C7" s="332"/>
    </row>
    <row r="8" spans="1:3" s="67" customFormat="1" ht="12" customHeight="1" thickBot="1">
      <c r="A8" s="31" t="s">
        <v>18</v>
      </c>
      <c r="B8" s="21" t="s">
        <v>245</v>
      </c>
      <c r="C8" s="272">
        <f>+C9+C10+C11+C12+C13+C14</f>
        <v>0</v>
      </c>
    </row>
    <row r="9" spans="1:3" s="88" customFormat="1" ht="12" customHeight="1">
      <c r="A9" s="408" t="s">
        <v>98</v>
      </c>
      <c r="B9" s="389" t="s">
        <v>246</v>
      </c>
      <c r="C9" s="275"/>
    </row>
    <row r="10" spans="1:3" s="89" customFormat="1" ht="12" customHeight="1">
      <c r="A10" s="409" t="s">
        <v>99</v>
      </c>
      <c r="B10" s="390" t="s">
        <v>247</v>
      </c>
      <c r="C10" s="274"/>
    </row>
    <row r="11" spans="1:3" s="89" customFormat="1" ht="12" customHeight="1">
      <c r="A11" s="409" t="s">
        <v>100</v>
      </c>
      <c r="B11" s="390" t="s">
        <v>541</v>
      </c>
      <c r="C11" s="274"/>
    </row>
    <row r="12" spans="1:3" s="89" customFormat="1" ht="12" customHeight="1">
      <c r="A12" s="409" t="s">
        <v>101</v>
      </c>
      <c r="B12" s="390" t="s">
        <v>249</v>
      </c>
      <c r="C12" s="274"/>
    </row>
    <row r="13" spans="1:3" s="89" customFormat="1" ht="12" customHeight="1">
      <c r="A13" s="409" t="s">
        <v>146</v>
      </c>
      <c r="B13" s="390" t="s">
        <v>497</v>
      </c>
      <c r="C13" s="274"/>
    </row>
    <row r="14" spans="1:3" s="88" customFormat="1" ht="12" customHeight="1" thickBot="1">
      <c r="A14" s="410" t="s">
        <v>102</v>
      </c>
      <c r="B14" s="391" t="s">
        <v>424</v>
      </c>
      <c r="C14" s="274"/>
    </row>
    <row r="15" spans="1:3" s="88" customFormat="1" ht="12" customHeight="1" thickBot="1">
      <c r="A15" s="31" t="s">
        <v>19</v>
      </c>
      <c r="B15" s="267" t="s">
        <v>250</v>
      </c>
      <c r="C15" s="272">
        <f>+C16+C17+C18+C19+C20</f>
        <v>433439</v>
      </c>
    </row>
    <row r="16" spans="1:3" s="88" customFormat="1" ht="12" customHeight="1">
      <c r="A16" s="408" t="s">
        <v>104</v>
      </c>
      <c r="B16" s="389" t="s">
        <v>251</v>
      </c>
      <c r="C16" s="275"/>
    </row>
    <row r="17" spans="1:3" s="88" customFormat="1" ht="12" customHeight="1">
      <c r="A17" s="409" t="s">
        <v>105</v>
      </c>
      <c r="B17" s="390" t="s">
        <v>252</v>
      </c>
      <c r="C17" s="274"/>
    </row>
    <row r="18" spans="1:3" s="88" customFormat="1" ht="12" customHeight="1">
      <c r="A18" s="409" t="s">
        <v>106</v>
      </c>
      <c r="B18" s="390" t="s">
        <v>413</v>
      </c>
      <c r="C18" s="274"/>
    </row>
    <row r="19" spans="1:3" s="88" customFormat="1" ht="12" customHeight="1">
      <c r="A19" s="409" t="s">
        <v>107</v>
      </c>
      <c r="B19" s="390" t="s">
        <v>414</v>
      </c>
      <c r="C19" s="274"/>
    </row>
    <row r="20" spans="1:3" s="88" customFormat="1" ht="12" customHeight="1">
      <c r="A20" s="409" t="s">
        <v>108</v>
      </c>
      <c r="B20" s="390" t="s">
        <v>253</v>
      </c>
      <c r="C20" s="274">
        <v>433439</v>
      </c>
    </row>
    <row r="21" spans="1:3" s="89" customFormat="1" ht="12" customHeight="1" thickBot="1">
      <c r="A21" s="410" t="s">
        <v>117</v>
      </c>
      <c r="B21" s="391" t="s">
        <v>254</v>
      </c>
      <c r="C21" s="276"/>
    </row>
    <row r="22" spans="1:3" s="89" customFormat="1" ht="12" customHeight="1" thickBot="1">
      <c r="A22" s="31" t="s">
        <v>20</v>
      </c>
      <c r="B22" s="21" t="s">
        <v>255</v>
      </c>
      <c r="C22" s="272">
        <f>+C23+C24+C25+C26+C27</f>
        <v>0</v>
      </c>
    </row>
    <row r="23" spans="1:3" s="89" customFormat="1" ht="12" customHeight="1">
      <c r="A23" s="408" t="s">
        <v>87</v>
      </c>
      <c r="B23" s="389" t="s">
        <v>256</v>
      </c>
      <c r="C23" s="275"/>
    </row>
    <row r="24" spans="1:3" s="88" customFormat="1" ht="12" customHeight="1">
      <c r="A24" s="409" t="s">
        <v>88</v>
      </c>
      <c r="B24" s="390" t="s">
        <v>257</v>
      </c>
      <c r="C24" s="274"/>
    </row>
    <row r="25" spans="1:3" s="89" customFormat="1" ht="12" customHeight="1">
      <c r="A25" s="409" t="s">
        <v>89</v>
      </c>
      <c r="B25" s="390" t="s">
        <v>415</v>
      </c>
      <c r="C25" s="274"/>
    </row>
    <row r="26" spans="1:3" s="89" customFormat="1" ht="12" customHeight="1">
      <c r="A26" s="409" t="s">
        <v>90</v>
      </c>
      <c r="B26" s="390" t="s">
        <v>416</v>
      </c>
      <c r="C26" s="274"/>
    </row>
    <row r="27" spans="1:3" s="89" customFormat="1" ht="12" customHeight="1">
      <c r="A27" s="409" t="s">
        <v>169</v>
      </c>
      <c r="B27" s="390" t="s">
        <v>258</v>
      </c>
      <c r="C27" s="274"/>
    </row>
    <row r="28" spans="1:3" s="89" customFormat="1" ht="12" customHeight="1" thickBot="1">
      <c r="A28" s="410" t="s">
        <v>170</v>
      </c>
      <c r="B28" s="391" t="s">
        <v>259</v>
      </c>
      <c r="C28" s="276"/>
    </row>
    <row r="29" spans="1:3" s="89" customFormat="1" ht="12" customHeight="1" thickBot="1">
      <c r="A29" s="31" t="s">
        <v>171</v>
      </c>
      <c r="B29" s="21" t="s">
        <v>260</v>
      </c>
      <c r="C29" s="278">
        <f>SUM(C30:C36)</f>
        <v>0</v>
      </c>
    </row>
    <row r="30" spans="1:3" s="89" customFormat="1" ht="12" customHeight="1">
      <c r="A30" s="408" t="s">
        <v>261</v>
      </c>
      <c r="B30" s="389" t="str">
        <f>'KV_1.1.sz.mell.'!B32</f>
        <v>Építményadó</v>
      </c>
      <c r="C30" s="275"/>
    </row>
    <row r="31" spans="1:3" s="89" customFormat="1" ht="12" customHeight="1">
      <c r="A31" s="409" t="s">
        <v>262</v>
      </c>
      <c r="B31" s="389" t="str">
        <f>'KV_1.1.sz.mell.'!B33</f>
        <v>Telekadó</v>
      </c>
      <c r="C31" s="274"/>
    </row>
    <row r="32" spans="1:3" s="89" customFormat="1" ht="12" customHeight="1">
      <c r="A32" s="409" t="s">
        <v>263</v>
      </c>
      <c r="B32" s="389" t="str">
        <f>'KV_1.1.sz.mell.'!B34</f>
        <v>Iparűzési adó</v>
      </c>
      <c r="C32" s="274"/>
    </row>
    <row r="33" spans="1:3" s="89" customFormat="1" ht="12" customHeight="1">
      <c r="A33" s="409" t="s">
        <v>264</v>
      </c>
      <c r="B33" s="389" t="str">
        <f>'KV_1.1.sz.mell.'!B35</f>
        <v>Talajterhelési díj</v>
      </c>
      <c r="C33" s="274"/>
    </row>
    <row r="34" spans="1:3" s="89" customFormat="1" ht="12" customHeight="1">
      <c r="A34" s="409" t="s">
        <v>543</v>
      </c>
      <c r="B34" s="389" t="str">
        <f>'KV_1.1.sz.mell.'!B36</f>
        <v>Gépjárműadó</v>
      </c>
      <c r="C34" s="274"/>
    </row>
    <row r="35" spans="1:3" s="89" customFormat="1" ht="12" customHeight="1">
      <c r="A35" s="409" t="s">
        <v>544</v>
      </c>
      <c r="B35" s="389" t="str">
        <f>'KV_1.1.sz.mell.'!B37</f>
        <v>Adópótlék, adóbírság</v>
      </c>
      <c r="C35" s="274"/>
    </row>
    <row r="36" spans="1:3" s="89" customFormat="1" ht="12" customHeight="1" thickBot="1">
      <c r="A36" s="410" t="s">
        <v>545</v>
      </c>
      <c r="B36" s="389" t="str">
        <f>'KV_1.1.sz.mell.'!B38</f>
        <v>Egyéb  közhatalmi bevételek</v>
      </c>
      <c r="C36" s="276"/>
    </row>
    <row r="37" spans="1:3" s="89" customFormat="1" ht="12" customHeight="1" thickBot="1">
      <c r="A37" s="31" t="s">
        <v>22</v>
      </c>
      <c r="B37" s="21" t="s">
        <v>425</v>
      </c>
      <c r="C37" s="272">
        <f>SUM(C38:C48)</f>
        <v>0</v>
      </c>
    </row>
    <row r="38" spans="1:3" s="89" customFormat="1" ht="12" customHeight="1">
      <c r="A38" s="408" t="s">
        <v>91</v>
      </c>
      <c r="B38" s="389" t="s">
        <v>268</v>
      </c>
      <c r="C38" s="275"/>
    </row>
    <row r="39" spans="1:3" s="89" customFormat="1" ht="12" customHeight="1">
      <c r="A39" s="409" t="s">
        <v>92</v>
      </c>
      <c r="B39" s="390" t="s">
        <v>269</v>
      </c>
      <c r="C39" s="274"/>
    </row>
    <row r="40" spans="1:3" s="89" customFormat="1" ht="12" customHeight="1">
      <c r="A40" s="409" t="s">
        <v>93</v>
      </c>
      <c r="B40" s="390" t="s">
        <v>270</v>
      </c>
      <c r="C40" s="274"/>
    </row>
    <row r="41" spans="1:3" s="89" customFormat="1" ht="12" customHeight="1">
      <c r="A41" s="409" t="s">
        <v>173</v>
      </c>
      <c r="B41" s="390" t="s">
        <v>271</v>
      </c>
      <c r="C41" s="274"/>
    </row>
    <row r="42" spans="1:3" s="89" customFormat="1" ht="12" customHeight="1">
      <c r="A42" s="409" t="s">
        <v>174</v>
      </c>
      <c r="B42" s="390" t="s">
        <v>272</v>
      </c>
      <c r="C42" s="274"/>
    </row>
    <row r="43" spans="1:3" s="89" customFormat="1" ht="12" customHeight="1">
      <c r="A43" s="409" t="s">
        <v>175</v>
      </c>
      <c r="B43" s="390" t="s">
        <v>273</v>
      </c>
      <c r="C43" s="274"/>
    </row>
    <row r="44" spans="1:3" s="89" customFormat="1" ht="12" customHeight="1">
      <c r="A44" s="409" t="s">
        <v>176</v>
      </c>
      <c r="B44" s="390" t="s">
        <v>274</v>
      </c>
      <c r="C44" s="274"/>
    </row>
    <row r="45" spans="1:3" s="89" customFormat="1" ht="12" customHeight="1">
      <c r="A45" s="409" t="s">
        <v>177</v>
      </c>
      <c r="B45" s="390" t="s">
        <v>551</v>
      </c>
      <c r="C45" s="274"/>
    </row>
    <row r="46" spans="1:3" s="89" customFormat="1" ht="12" customHeight="1">
      <c r="A46" s="409" t="s">
        <v>266</v>
      </c>
      <c r="B46" s="390" t="s">
        <v>276</v>
      </c>
      <c r="C46" s="277"/>
    </row>
    <row r="47" spans="1:3" s="89" customFormat="1" ht="12" customHeight="1">
      <c r="A47" s="410" t="s">
        <v>267</v>
      </c>
      <c r="B47" s="391" t="s">
        <v>427</v>
      </c>
      <c r="C47" s="377"/>
    </row>
    <row r="48" spans="1:3" s="89" customFormat="1" ht="12" customHeight="1" thickBot="1">
      <c r="A48" s="410" t="s">
        <v>426</v>
      </c>
      <c r="B48" s="391" t="s">
        <v>277</v>
      </c>
      <c r="C48" s="377"/>
    </row>
    <row r="49" spans="1:3" s="89" customFormat="1" ht="12" customHeight="1" thickBot="1">
      <c r="A49" s="31" t="s">
        <v>23</v>
      </c>
      <c r="B49" s="21" t="s">
        <v>278</v>
      </c>
      <c r="C49" s="272">
        <f>SUM(C50:C54)</f>
        <v>260000000</v>
      </c>
    </row>
    <row r="50" spans="1:3" s="89" customFormat="1" ht="12" customHeight="1">
      <c r="A50" s="408" t="s">
        <v>94</v>
      </c>
      <c r="B50" s="389" t="s">
        <v>282</v>
      </c>
      <c r="C50" s="433"/>
    </row>
    <row r="51" spans="1:3" s="89" customFormat="1" ht="12" customHeight="1">
      <c r="A51" s="409" t="s">
        <v>95</v>
      </c>
      <c r="B51" s="390" t="s">
        <v>283</v>
      </c>
      <c r="C51" s="277">
        <v>260000000</v>
      </c>
    </row>
    <row r="52" spans="1:3" s="89" customFormat="1" ht="12" customHeight="1">
      <c r="A52" s="409" t="s">
        <v>279</v>
      </c>
      <c r="B52" s="390" t="s">
        <v>284</v>
      </c>
      <c r="C52" s="277"/>
    </row>
    <row r="53" spans="1:3" s="89" customFormat="1" ht="12" customHeight="1">
      <c r="A53" s="409" t="s">
        <v>280</v>
      </c>
      <c r="B53" s="390" t="s">
        <v>285</v>
      </c>
      <c r="C53" s="277"/>
    </row>
    <row r="54" spans="1:3" s="89" customFormat="1" ht="12" customHeight="1" thickBot="1">
      <c r="A54" s="410" t="s">
        <v>281</v>
      </c>
      <c r="B54" s="391" t="s">
        <v>286</v>
      </c>
      <c r="C54" s="377"/>
    </row>
    <row r="55" spans="1:3" s="89" customFormat="1" ht="12" customHeight="1" thickBot="1">
      <c r="A55" s="31" t="s">
        <v>178</v>
      </c>
      <c r="B55" s="21" t="s">
        <v>287</v>
      </c>
      <c r="C55" s="272">
        <f>SUM(C56:C58)</f>
        <v>12000000</v>
      </c>
    </row>
    <row r="56" spans="1:3" s="89" customFormat="1" ht="12" customHeight="1">
      <c r="A56" s="408" t="s">
        <v>96</v>
      </c>
      <c r="B56" s="389" t="s">
        <v>288</v>
      </c>
      <c r="C56" s="275"/>
    </row>
    <row r="57" spans="1:3" s="89" customFormat="1" ht="12" customHeight="1">
      <c r="A57" s="409" t="s">
        <v>97</v>
      </c>
      <c r="B57" s="390" t="s">
        <v>417</v>
      </c>
      <c r="C57" s="274">
        <v>12000000</v>
      </c>
    </row>
    <row r="58" spans="1:3" s="89" customFormat="1" ht="12" customHeight="1">
      <c r="A58" s="409" t="s">
        <v>291</v>
      </c>
      <c r="B58" s="390" t="s">
        <v>289</v>
      </c>
      <c r="C58" s="274"/>
    </row>
    <row r="59" spans="1:3" s="89" customFormat="1" ht="12" customHeight="1" thickBot="1">
      <c r="A59" s="410" t="s">
        <v>292</v>
      </c>
      <c r="B59" s="391" t="s">
        <v>290</v>
      </c>
      <c r="C59" s="276"/>
    </row>
    <row r="60" spans="1:3" s="89" customFormat="1" ht="12" customHeight="1" thickBot="1">
      <c r="A60" s="31" t="s">
        <v>25</v>
      </c>
      <c r="B60" s="267" t="s">
        <v>293</v>
      </c>
      <c r="C60" s="272">
        <f>SUM(C61:C63)</f>
        <v>235500</v>
      </c>
    </row>
    <row r="61" spans="1:3" s="89" customFormat="1" ht="12" customHeight="1">
      <c r="A61" s="408" t="s">
        <v>179</v>
      </c>
      <c r="B61" s="389" t="s">
        <v>295</v>
      </c>
      <c r="C61" s="277"/>
    </row>
    <row r="62" spans="1:3" s="89" customFormat="1" ht="12" customHeight="1">
      <c r="A62" s="409" t="s">
        <v>180</v>
      </c>
      <c r="B62" s="390" t="s">
        <v>418</v>
      </c>
      <c r="C62" s="277"/>
    </row>
    <row r="63" spans="1:3" s="89" customFormat="1" ht="12" customHeight="1">
      <c r="A63" s="409" t="s">
        <v>224</v>
      </c>
      <c r="B63" s="390" t="s">
        <v>296</v>
      </c>
      <c r="C63" s="277">
        <v>235500</v>
      </c>
    </row>
    <row r="64" spans="1:3" s="89" customFormat="1" ht="12" customHeight="1" thickBot="1">
      <c r="A64" s="410" t="s">
        <v>294</v>
      </c>
      <c r="B64" s="391" t="s">
        <v>297</v>
      </c>
      <c r="C64" s="277"/>
    </row>
    <row r="65" spans="1:3" s="89" customFormat="1" ht="12" customHeight="1" thickBot="1">
      <c r="A65" s="31" t="s">
        <v>26</v>
      </c>
      <c r="B65" s="21" t="s">
        <v>298</v>
      </c>
      <c r="C65" s="278">
        <f>+C8+C15+C22+C29+C37+C49+C55+C60</f>
        <v>272668939</v>
      </c>
    </row>
    <row r="66" spans="1:3" s="89" customFormat="1" ht="12" customHeight="1" thickBot="1">
      <c r="A66" s="411" t="s">
        <v>385</v>
      </c>
      <c r="B66" s="267" t="s">
        <v>300</v>
      </c>
      <c r="C66" s="272">
        <f>SUM(C67:C69)</f>
        <v>0</v>
      </c>
    </row>
    <row r="67" spans="1:3" s="89" customFormat="1" ht="12" customHeight="1">
      <c r="A67" s="408" t="s">
        <v>328</v>
      </c>
      <c r="B67" s="389" t="s">
        <v>301</v>
      </c>
      <c r="C67" s="277"/>
    </row>
    <row r="68" spans="1:3" s="89" customFormat="1" ht="12" customHeight="1">
      <c r="A68" s="409" t="s">
        <v>337</v>
      </c>
      <c r="B68" s="390" t="s">
        <v>302</v>
      </c>
      <c r="C68" s="277"/>
    </row>
    <row r="69" spans="1:3" s="89" customFormat="1" ht="12" customHeight="1" thickBot="1">
      <c r="A69" s="410" t="s">
        <v>338</v>
      </c>
      <c r="B69" s="392" t="s">
        <v>303</v>
      </c>
      <c r="C69" s="277"/>
    </row>
    <row r="70" spans="1:3" s="89" customFormat="1" ht="12" customHeight="1" thickBot="1">
      <c r="A70" s="411" t="s">
        <v>304</v>
      </c>
      <c r="B70" s="267" t="s">
        <v>305</v>
      </c>
      <c r="C70" s="272">
        <f>SUM(C71:C74)</f>
        <v>0</v>
      </c>
    </row>
    <row r="71" spans="1:3" s="89" customFormat="1" ht="12" customHeight="1">
      <c r="A71" s="408" t="s">
        <v>147</v>
      </c>
      <c r="B71" s="389" t="s">
        <v>306</v>
      </c>
      <c r="C71" s="277"/>
    </row>
    <row r="72" spans="1:3" s="89" customFormat="1" ht="12" customHeight="1">
      <c r="A72" s="409" t="s">
        <v>148</v>
      </c>
      <c r="B72" s="390" t="s">
        <v>559</v>
      </c>
      <c r="C72" s="277"/>
    </row>
    <row r="73" spans="1:3" s="89" customFormat="1" ht="12" customHeight="1">
      <c r="A73" s="409" t="s">
        <v>329</v>
      </c>
      <c r="B73" s="390" t="s">
        <v>307</v>
      </c>
      <c r="C73" s="277"/>
    </row>
    <row r="74" spans="1:3" s="89" customFormat="1" ht="12" customHeight="1">
      <c r="A74" s="409" t="s">
        <v>330</v>
      </c>
      <c r="B74" s="268" t="s">
        <v>560</v>
      </c>
      <c r="C74" s="277"/>
    </row>
    <row r="75" spans="1:3" s="89" customFormat="1" ht="12" customHeight="1" thickBot="1">
      <c r="A75" s="415" t="s">
        <v>308</v>
      </c>
      <c r="B75" s="546" t="s">
        <v>309</v>
      </c>
      <c r="C75" s="457">
        <f>SUM(C76:C77)</f>
        <v>0</v>
      </c>
    </row>
    <row r="76" spans="1:3" s="89" customFormat="1" ht="12" customHeight="1">
      <c r="A76" s="408" t="s">
        <v>331</v>
      </c>
      <c r="B76" s="389" t="s">
        <v>310</v>
      </c>
      <c r="C76" s="277"/>
    </row>
    <row r="77" spans="1:3" s="89" customFormat="1" ht="12" customHeight="1" thickBot="1">
      <c r="A77" s="410" t="s">
        <v>332</v>
      </c>
      <c r="B77" s="391" t="s">
        <v>311</v>
      </c>
      <c r="C77" s="277"/>
    </row>
    <row r="78" spans="1:3" s="88" customFormat="1" ht="12" customHeight="1" thickBot="1">
      <c r="A78" s="411" t="s">
        <v>312</v>
      </c>
      <c r="B78" s="267" t="s">
        <v>313</v>
      </c>
      <c r="C78" s="272">
        <f>SUM(C79:C81)</f>
        <v>0</v>
      </c>
    </row>
    <row r="79" spans="1:3" s="89" customFormat="1" ht="12" customHeight="1">
      <c r="A79" s="408" t="s">
        <v>333</v>
      </c>
      <c r="B79" s="389" t="s">
        <v>314</v>
      </c>
      <c r="C79" s="277"/>
    </row>
    <row r="80" spans="1:3" s="89" customFormat="1" ht="12" customHeight="1">
      <c r="A80" s="409" t="s">
        <v>334</v>
      </c>
      <c r="B80" s="390" t="s">
        <v>315</v>
      </c>
      <c r="C80" s="277"/>
    </row>
    <row r="81" spans="1:3" s="89" customFormat="1" ht="12" customHeight="1" thickBot="1">
      <c r="A81" s="410" t="s">
        <v>335</v>
      </c>
      <c r="B81" s="391" t="s">
        <v>561</v>
      </c>
      <c r="C81" s="277"/>
    </row>
    <row r="82" spans="1:3" s="89" customFormat="1" ht="12" customHeight="1" thickBot="1">
      <c r="A82" s="411" t="s">
        <v>316</v>
      </c>
      <c r="B82" s="267" t="s">
        <v>336</v>
      </c>
      <c r="C82" s="272">
        <f>SUM(C83:C86)</f>
        <v>0</v>
      </c>
    </row>
    <row r="83" spans="1:3" s="89" customFormat="1" ht="12" customHeight="1">
      <c r="A83" s="412" t="s">
        <v>317</v>
      </c>
      <c r="B83" s="389" t="s">
        <v>318</v>
      </c>
      <c r="C83" s="277"/>
    </row>
    <row r="84" spans="1:3" s="89" customFormat="1" ht="12" customHeight="1">
      <c r="A84" s="413" t="s">
        <v>319</v>
      </c>
      <c r="B84" s="390" t="s">
        <v>320</v>
      </c>
      <c r="C84" s="277"/>
    </row>
    <row r="85" spans="1:3" s="89" customFormat="1" ht="12" customHeight="1">
      <c r="A85" s="413" t="s">
        <v>321</v>
      </c>
      <c r="B85" s="390" t="s">
        <v>322</v>
      </c>
      <c r="C85" s="277"/>
    </row>
    <row r="86" spans="1:3" s="88" customFormat="1" ht="12" customHeight="1" thickBot="1">
      <c r="A86" s="414" t="s">
        <v>323</v>
      </c>
      <c r="B86" s="391" t="s">
        <v>324</v>
      </c>
      <c r="C86" s="277"/>
    </row>
    <row r="87" spans="1:3" s="88" customFormat="1" ht="12" customHeight="1" thickBot="1">
      <c r="A87" s="411" t="s">
        <v>325</v>
      </c>
      <c r="B87" s="267" t="s">
        <v>466</v>
      </c>
      <c r="C87" s="434"/>
    </row>
    <row r="88" spans="1:3" s="88" customFormat="1" ht="12" customHeight="1" thickBot="1">
      <c r="A88" s="411" t="s">
        <v>498</v>
      </c>
      <c r="B88" s="267" t="s">
        <v>326</v>
      </c>
      <c r="C88" s="434"/>
    </row>
    <row r="89" spans="1:3" s="88" customFormat="1" ht="12" customHeight="1" thickBot="1">
      <c r="A89" s="411" t="s">
        <v>499</v>
      </c>
      <c r="B89" s="396" t="s">
        <v>469</v>
      </c>
      <c r="C89" s="278">
        <f>+C66+C70+C75+C78+C82+C88+C87</f>
        <v>0</v>
      </c>
    </row>
    <row r="90" spans="1:3" s="88" customFormat="1" ht="12" customHeight="1" thickBot="1">
      <c r="A90" s="415" t="s">
        <v>500</v>
      </c>
      <c r="B90" s="397" t="s">
        <v>501</v>
      </c>
      <c r="C90" s="278">
        <f>+C65+C89</f>
        <v>272668939</v>
      </c>
    </row>
    <row r="91" spans="1:3" s="89" customFormat="1" ht="16.5" customHeight="1" thickBot="1">
      <c r="A91" s="214"/>
      <c r="B91" s="215"/>
      <c r="C91" s="337"/>
    </row>
    <row r="92" spans="1:3" s="67" customFormat="1" ht="16.5" customHeight="1" thickBot="1">
      <c r="A92" s="218"/>
      <c r="B92" s="219" t="s">
        <v>57</v>
      </c>
      <c r="C92" s="339"/>
    </row>
    <row r="93" spans="1:3" s="90" customFormat="1" ht="12" customHeight="1" thickBot="1">
      <c r="A93" s="383" t="s">
        <v>18</v>
      </c>
      <c r="B93" s="28" t="s">
        <v>505</v>
      </c>
      <c r="C93" s="271">
        <f>+C94+C95+C96+C97+C98+C111</f>
        <v>132213135</v>
      </c>
    </row>
    <row r="94" spans="1:3" ht="12" customHeight="1">
      <c r="A94" s="416" t="s">
        <v>98</v>
      </c>
      <c r="B94" s="10" t="s">
        <v>49</v>
      </c>
      <c r="C94" s="273">
        <v>50000</v>
      </c>
    </row>
    <row r="95" spans="1:3" ht="12" customHeight="1">
      <c r="A95" s="409" t="s">
        <v>99</v>
      </c>
      <c r="B95" s="8" t="s">
        <v>181</v>
      </c>
      <c r="C95" s="274"/>
    </row>
    <row r="96" spans="1:3" ht="12" customHeight="1">
      <c r="A96" s="409" t="s">
        <v>100</v>
      </c>
      <c r="B96" s="8" t="s">
        <v>138</v>
      </c>
      <c r="C96" s="276">
        <v>39141202</v>
      </c>
    </row>
    <row r="97" spans="1:3" ht="12" customHeight="1">
      <c r="A97" s="409" t="s">
        <v>101</v>
      </c>
      <c r="B97" s="11" t="s">
        <v>182</v>
      </c>
      <c r="C97" s="276">
        <v>15700000</v>
      </c>
    </row>
    <row r="98" spans="1:3" ht="12" customHeight="1">
      <c r="A98" s="409" t="s">
        <v>112</v>
      </c>
      <c r="B98" s="19" t="s">
        <v>183</v>
      </c>
      <c r="C98" s="276">
        <v>76321933</v>
      </c>
    </row>
    <row r="99" spans="1:3" ht="12" customHeight="1">
      <c r="A99" s="409" t="s">
        <v>102</v>
      </c>
      <c r="B99" s="8" t="s">
        <v>502</v>
      </c>
      <c r="C99" s="276"/>
    </row>
    <row r="100" spans="1:3" ht="12" customHeight="1">
      <c r="A100" s="409" t="s">
        <v>103</v>
      </c>
      <c r="B100" s="137" t="s">
        <v>432</v>
      </c>
      <c r="C100" s="276"/>
    </row>
    <row r="101" spans="1:3" ht="12" customHeight="1">
      <c r="A101" s="409" t="s">
        <v>113</v>
      </c>
      <c r="B101" s="137" t="s">
        <v>431</v>
      </c>
      <c r="C101" s="276"/>
    </row>
    <row r="102" spans="1:3" ht="12" customHeight="1">
      <c r="A102" s="409" t="s">
        <v>114</v>
      </c>
      <c r="B102" s="137" t="s">
        <v>342</v>
      </c>
      <c r="C102" s="276"/>
    </row>
    <row r="103" spans="1:3" ht="12" customHeight="1">
      <c r="A103" s="409" t="s">
        <v>115</v>
      </c>
      <c r="B103" s="138" t="s">
        <v>343</v>
      </c>
      <c r="C103" s="276"/>
    </row>
    <row r="104" spans="1:3" ht="12" customHeight="1">
      <c r="A104" s="409" t="s">
        <v>116</v>
      </c>
      <c r="B104" s="138" t="s">
        <v>344</v>
      </c>
      <c r="C104" s="276"/>
    </row>
    <row r="105" spans="1:3" ht="12" customHeight="1">
      <c r="A105" s="409" t="s">
        <v>118</v>
      </c>
      <c r="B105" s="137" t="s">
        <v>345</v>
      </c>
      <c r="C105" s="276">
        <v>51959933</v>
      </c>
    </row>
    <row r="106" spans="1:3" ht="12" customHeight="1">
      <c r="A106" s="409" t="s">
        <v>184</v>
      </c>
      <c r="B106" s="137" t="s">
        <v>346</v>
      </c>
      <c r="C106" s="276"/>
    </row>
    <row r="107" spans="1:3" ht="12" customHeight="1">
      <c r="A107" s="409" t="s">
        <v>340</v>
      </c>
      <c r="B107" s="138" t="s">
        <v>347</v>
      </c>
      <c r="C107" s="276"/>
    </row>
    <row r="108" spans="1:3" ht="12" customHeight="1">
      <c r="A108" s="417" t="s">
        <v>341</v>
      </c>
      <c r="B108" s="139" t="s">
        <v>348</v>
      </c>
      <c r="C108" s="276"/>
    </row>
    <row r="109" spans="1:3" ht="12" customHeight="1">
      <c r="A109" s="409" t="s">
        <v>429</v>
      </c>
      <c r="B109" s="139" t="s">
        <v>349</v>
      </c>
      <c r="C109" s="276"/>
    </row>
    <row r="110" spans="1:3" ht="12" customHeight="1">
      <c r="A110" s="409" t="s">
        <v>430</v>
      </c>
      <c r="B110" s="138" t="s">
        <v>350</v>
      </c>
      <c r="C110" s="274">
        <v>24362000</v>
      </c>
    </row>
    <row r="111" spans="1:3" ht="12" customHeight="1">
      <c r="A111" s="409" t="s">
        <v>434</v>
      </c>
      <c r="B111" s="11" t="s">
        <v>50</v>
      </c>
      <c r="C111" s="274">
        <v>1000000</v>
      </c>
    </row>
    <row r="112" spans="1:3" ht="12" customHeight="1">
      <c r="A112" s="410" t="s">
        <v>435</v>
      </c>
      <c r="B112" s="8" t="s">
        <v>503</v>
      </c>
      <c r="C112" s="276"/>
    </row>
    <row r="113" spans="1:3" ht="12" customHeight="1" thickBot="1">
      <c r="A113" s="418" t="s">
        <v>436</v>
      </c>
      <c r="B113" s="140" t="s">
        <v>504</v>
      </c>
      <c r="C113" s="280">
        <v>1000000</v>
      </c>
    </row>
    <row r="114" spans="1:3" ht="12" customHeight="1" thickBot="1">
      <c r="A114" s="31" t="s">
        <v>19</v>
      </c>
      <c r="B114" s="27" t="s">
        <v>351</v>
      </c>
      <c r="C114" s="272">
        <f>+C115+C117+C119</f>
        <v>2286000</v>
      </c>
    </row>
    <row r="115" spans="1:3" ht="12" customHeight="1">
      <c r="A115" s="408" t="s">
        <v>104</v>
      </c>
      <c r="B115" s="8" t="s">
        <v>223</v>
      </c>
      <c r="C115" s="275">
        <v>2286000</v>
      </c>
    </row>
    <row r="116" spans="1:3" ht="12" customHeight="1">
      <c r="A116" s="408" t="s">
        <v>105</v>
      </c>
      <c r="B116" s="12" t="s">
        <v>355</v>
      </c>
      <c r="C116" s="275"/>
    </row>
    <row r="117" spans="1:3" ht="12" customHeight="1">
      <c r="A117" s="408" t="s">
        <v>106</v>
      </c>
      <c r="B117" s="12" t="s">
        <v>185</v>
      </c>
      <c r="C117" s="274"/>
    </row>
    <row r="118" spans="1:3" ht="12" customHeight="1">
      <c r="A118" s="408" t="s">
        <v>107</v>
      </c>
      <c r="B118" s="12" t="s">
        <v>356</v>
      </c>
      <c r="C118" s="240"/>
    </row>
    <row r="119" spans="1:3" ht="12" customHeight="1">
      <c r="A119" s="408" t="s">
        <v>108</v>
      </c>
      <c r="B119" s="269" t="s">
        <v>225</v>
      </c>
      <c r="C119" s="240"/>
    </row>
    <row r="120" spans="1:3" ht="12" customHeight="1">
      <c r="A120" s="408" t="s">
        <v>117</v>
      </c>
      <c r="B120" s="268" t="s">
        <v>419</v>
      </c>
      <c r="C120" s="240"/>
    </row>
    <row r="121" spans="1:3" ht="12" customHeight="1">
      <c r="A121" s="408" t="s">
        <v>119</v>
      </c>
      <c r="B121" s="385" t="s">
        <v>361</v>
      </c>
      <c r="C121" s="240"/>
    </row>
    <row r="122" spans="1:3" ht="12" customHeight="1">
      <c r="A122" s="408" t="s">
        <v>186</v>
      </c>
      <c r="B122" s="138" t="s">
        <v>344</v>
      </c>
      <c r="C122" s="240"/>
    </row>
    <row r="123" spans="1:3" ht="12" customHeight="1">
      <c r="A123" s="408" t="s">
        <v>187</v>
      </c>
      <c r="B123" s="138" t="s">
        <v>360</v>
      </c>
      <c r="C123" s="240"/>
    </row>
    <row r="124" spans="1:3" ht="12" customHeight="1">
      <c r="A124" s="408" t="s">
        <v>188</v>
      </c>
      <c r="B124" s="138" t="s">
        <v>359</v>
      </c>
      <c r="C124" s="240"/>
    </row>
    <row r="125" spans="1:3" ht="12" customHeight="1">
      <c r="A125" s="408" t="s">
        <v>352</v>
      </c>
      <c r="B125" s="138" t="s">
        <v>347</v>
      </c>
      <c r="C125" s="240"/>
    </row>
    <row r="126" spans="1:3" ht="12" customHeight="1">
      <c r="A126" s="408" t="s">
        <v>353</v>
      </c>
      <c r="B126" s="138" t="s">
        <v>358</v>
      </c>
      <c r="C126" s="240"/>
    </row>
    <row r="127" spans="1:3" ht="12" customHeight="1" thickBot="1">
      <c r="A127" s="417" t="s">
        <v>354</v>
      </c>
      <c r="B127" s="138" t="s">
        <v>357</v>
      </c>
      <c r="C127" s="242"/>
    </row>
    <row r="128" spans="1:3" ht="12" customHeight="1" thickBot="1">
      <c r="A128" s="31" t="s">
        <v>20</v>
      </c>
      <c r="B128" s="119" t="s">
        <v>439</v>
      </c>
      <c r="C128" s="272">
        <f>+C93+C114</f>
        <v>134499135</v>
      </c>
    </row>
    <row r="129" spans="1:3" ht="12" customHeight="1" thickBot="1">
      <c r="A129" s="31" t="s">
        <v>21</v>
      </c>
      <c r="B129" s="119" t="s">
        <v>440</v>
      </c>
      <c r="C129" s="272">
        <f>+C130+C131+C132</f>
        <v>0</v>
      </c>
    </row>
    <row r="130" spans="1:3" s="90" customFormat="1" ht="12" customHeight="1">
      <c r="A130" s="408" t="s">
        <v>261</v>
      </c>
      <c r="B130" s="9" t="s">
        <v>508</v>
      </c>
      <c r="C130" s="240"/>
    </row>
    <row r="131" spans="1:3" ht="12" customHeight="1">
      <c r="A131" s="408" t="s">
        <v>262</v>
      </c>
      <c r="B131" s="9" t="s">
        <v>448</v>
      </c>
      <c r="C131" s="240"/>
    </row>
    <row r="132" spans="1:3" ht="12" customHeight="1" thickBot="1">
      <c r="A132" s="417" t="s">
        <v>263</v>
      </c>
      <c r="B132" s="7" t="s">
        <v>507</v>
      </c>
      <c r="C132" s="240"/>
    </row>
    <row r="133" spans="1:3" ht="12" customHeight="1" thickBot="1">
      <c r="A133" s="31" t="s">
        <v>22</v>
      </c>
      <c r="B133" s="119" t="s">
        <v>441</v>
      </c>
      <c r="C133" s="272">
        <f>+C134+C135+C136+C137+C138+C139</f>
        <v>0</v>
      </c>
    </row>
    <row r="134" spans="1:3" ht="12" customHeight="1">
      <c r="A134" s="408" t="s">
        <v>91</v>
      </c>
      <c r="B134" s="9" t="s">
        <v>450</v>
      </c>
      <c r="C134" s="240"/>
    </row>
    <row r="135" spans="1:3" ht="12" customHeight="1">
      <c r="A135" s="408" t="s">
        <v>92</v>
      </c>
      <c r="B135" s="9" t="s">
        <v>442</v>
      </c>
      <c r="C135" s="240"/>
    </row>
    <row r="136" spans="1:3" ht="12" customHeight="1">
      <c r="A136" s="408" t="s">
        <v>93</v>
      </c>
      <c r="B136" s="9" t="s">
        <v>443</v>
      </c>
      <c r="C136" s="240"/>
    </row>
    <row r="137" spans="1:3" ht="12" customHeight="1">
      <c r="A137" s="408" t="s">
        <v>173</v>
      </c>
      <c r="B137" s="9" t="s">
        <v>506</v>
      </c>
      <c r="C137" s="240"/>
    </row>
    <row r="138" spans="1:3" ht="12" customHeight="1">
      <c r="A138" s="408" t="s">
        <v>174</v>
      </c>
      <c r="B138" s="9" t="s">
        <v>445</v>
      </c>
      <c r="C138" s="240"/>
    </row>
    <row r="139" spans="1:3" s="90" customFormat="1" ht="12" customHeight="1" thickBot="1">
      <c r="A139" s="417" t="s">
        <v>175</v>
      </c>
      <c r="B139" s="7" t="s">
        <v>446</v>
      </c>
      <c r="C139" s="240"/>
    </row>
    <row r="140" spans="1:11" ht="12" customHeight="1" thickBot="1">
      <c r="A140" s="31" t="s">
        <v>23</v>
      </c>
      <c r="B140" s="119" t="s">
        <v>532</v>
      </c>
      <c r="C140" s="278">
        <f>+C141+C142+C144+C145+C143</f>
        <v>0</v>
      </c>
      <c r="K140" s="225"/>
    </row>
    <row r="141" spans="1:3" ht="12.75">
      <c r="A141" s="408" t="s">
        <v>94</v>
      </c>
      <c r="B141" s="9" t="s">
        <v>362</v>
      </c>
      <c r="C141" s="240"/>
    </row>
    <row r="142" spans="1:3" ht="12" customHeight="1">
      <c r="A142" s="408" t="s">
        <v>95</v>
      </c>
      <c r="B142" s="9" t="s">
        <v>363</v>
      </c>
      <c r="C142" s="240"/>
    </row>
    <row r="143" spans="1:3" s="90" customFormat="1" ht="12" customHeight="1">
      <c r="A143" s="408" t="s">
        <v>279</v>
      </c>
      <c r="B143" s="9" t="s">
        <v>531</v>
      </c>
      <c r="C143" s="240"/>
    </row>
    <row r="144" spans="1:3" s="90" customFormat="1" ht="12" customHeight="1">
      <c r="A144" s="408" t="s">
        <v>280</v>
      </c>
      <c r="B144" s="9" t="s">
        <v>455</v>
      </c>
      <c r="C144" s="240"/>
    </row>
    <row r="145" spans="1:3" s="90" customFormat="1" ht="12" customHeight="1" thickBot="1">
      <c r="A145" s="417" t="s">
        <v>281</v>
      </c>
      <c r="B145" s="7" t="s">
        <v>381</v>
      </c>
      <c r="C145" s="240"/>
    </row>
    <row r="146" spans="1:3" s="90" customFormat="1" ht="12" customHeight="1" thickBot="1">
      <c r="A146" s="31" t="s">
        <v>24</v>
      </c>
      <c r="B146" s="119" t="s">
        <v>456</v>
      </c>
      <c r="C146" s="281">
        <f>+C147+C148+C149+C150+C151</f>
        <v>0</v>
      </c>
    </row>
    <row r="147" spans="1:3" s="90" customFormat="1" ht="12" customHeight="1">
      <c r="A147" s="408" t="s">
        <v>96</v>
      </c>
      <c r="B147" s="9" t="s">
        <v>451</v>
      </c>
      <c r="C147" s="240"/>
    </row>
    <row r="148" spans="1:3" s="90" customFormat="1" ht="12" customHeight="1">
      <c r="A148" s="408" t="s">
        <v>97</v>
      </c>
      <c r="B148" s="9" t="s">
        <v>458</v>
      </c>
      <c r="C148" s="240"/>
    </row>
    <row r="149" spans="1:3" s="90" customFormat="1" ht="12" customHeight="1">
      <c r="A149" s="408" t="s">
        <v>291</v>
      </c>
      <c r="B149" s="9" t="s">
        <v>453</v>
      </c>
      <c r="C149" s="240"/>
    </row>
    <row r="150" spans="1:3" ht="12.75" customHeight="1">
      <c r="A150" s="408" t="s">
        <v>292</v>
      </c>
      <c r="B150" s="9" t="s">
        <v>509</v>
      </c>
      <c r="C150" s="240"/>
    </row>
    <row r="151" spans="1:3" ht="12.75" customHeight="1" thickBot="1">
      <c r="A151" s="417" t="s">
        <v>457</v>
      </c>
      <c r="B151" s="7" t="s">
        <v>460</v>
      </c>
      <c r="C151" s="242"/>
    </row>
    <row r="152" spans="1:3" ht="12.75" customHeight="1" thickBot="1">
      <c r="A152" s="462" t="s">
        <v>25</v>
      </c>
      <c r="B152" s="119" t="s">
        <v>461</v>
      </c>
      <c r="C152" s="281"/>
    </row>
    <row r="153" spans="1:3" ht="12" customHeight="1" thickBot="1">
      <c r="A153" s="462" t="s">
        <v>26</v>
      </c>
      <c r="B153" s="119" t="s">
        <v>462</v>
      </c>
      <c r="C153" s="281"/>
    </row>
    <row r="154" spans="1:3" ht="15" customHeight="1" thickBot="1">
      <c r="A154" s="31" t="s">
        <v>27</v>
      </c>
      <c r="B154" s="119" t="s">
        <v>464</v>
      </c>
      <c r="C154" s="399">
        <f>+C129+C133+C140+C146+C152+C153</f>
        <v>0</v>
      </c>
    </row>
    <row r="155" spans="1:3" ht="13.5" thickBot="1">
      <c r="A155" s="419" t="s">
        <v>28</v>
      </c>
      <c r="B155" s="354" t="s">
        <v>463</v>
      </c>
      <c r="C155" s="399">
        <f>+C128+C154</f>
        <v>134499135</v>
      </c>
    </row>
    <row r="156" spans="1:3" ht="12.75" customHeight="1" thickBot="1">
      <c r="A156" s="362"/>
      <c r="B156" s="363"/>
      <c r="C156" s="586"/>
    </row>
    <row r="157" spans="1:3" ht="14.25" customHeight="1" thickBot="1">
      <c r="A157" s="223" t="s">
        <v>510</v>
      </c>
      <c r="B157" s="224"/>
      <c r="C157" s="116">
        <v>0</v>
      </c>
    </row>
    <row r="158" spans="1:3" ht="13.5" thickBot="1">
      <c r="A158" s="223" t="s">
        <v>202</v>
      </c>
      <c r="B158" s="224"/>
      <c r="C158" s="116">
        <v>0</v>
      </c>
    </row>
    <row r="159" spans="1:3" ht="12.75">
      <c r="A159" s="583"/>
      <c r="B159" s="584"/>
      <c r="C159" s="585"/>
    </row>
    <row r="160" spans="1:2" ht="12.75">
      <c r="A160" s="583"/>
      <c r="B160" s="584"/>
    </row>
    <row r="161" spans="1:3" ht="12.75">
      <c r="A161" s="583"/>
      <c r="B161" s="584"/>
      <c r="C161" s="585"/>
    </row>
    <row r="162" spans="1:3" ht="12.75">
      <c r="A162" s="583"/>
      <c r="B162" s="584"/>
      <c r="C162" s="585"/>
    </row>
    <row r="163" spans="1:3" ht="12.75">
      <c r="A163" s="583"/>
      <c r="B163" s="584"/>
      <c r="C163" s="585"/>
    </row>
    <row r="164" spans="1:3" ht="12.75">
      <c r="A164" s="583"/>
      <c r="B164" s="584"/>
      <c r="C164" s="585"/>
    </row>
    <row r="165" spans="1:3" ht="12.75">
      <c r="A165" s="583"/>
      <c r="B165" s="584"/>
      <c r="C165" s="585"/>
    </row>
    <row r="166" spans="1:3" ht="12.75">
      <c r="A166" s="583"/>
      <c r="B166" s="584"/>
      <c r="C166" s="585"/>
    </row>
    <row r="167" spans="1:3" ht="12.75">
      <c r="A167" s="583"/>
      <c r="B167" s="584"/>
      <c r="C167" s="585"/>
    </row>
    <row r="168" spans="1:3" ht="12.75">
      <c r="A168" s="583"/>
      <c r="B168" s="584"/>
      <c r="C168" s="585"/>
    </row>
    <row r="169" spans="1:3" ht="12.75">
      <c r="A169" s="583"/>
      <c r="B169" s="584"/>
      <c r="C169" s="585"/>
    </row>
    <row r="170" spans="1:3" ht="12.75">
      <c r="A170" s="583"/>
      <c r="B170" s="584"/>
      <c r="C170" s="585"/>
    </row>
    <row r="171" spans="1:3" ht="12.75">
      <c r="A171" s="583"/>
      <c r="B171" s="584"/>
      <c r="C171" s="585"/>
    </row>
    <row r="172" spans="1:3" ht="12.75">
      <c r="A172" s="583"/>
      <c r="B172" s="584"/>
      <c r="C172" s="585"/>
    </row>
    <row r="173" spans="1:3" ht="12.75">
      <c r="A173" s="583"/>
      <c r="B173" s="584"/>
      <c r="C173" s="585"/>
    </row>
    <row r="174" spans="1:3" ht="12.75">
      <c r="A174" s="583"/>
      <c r="B174" s="584"/>
      <c r="C174" s="585"/>
    </row>
    <row r="175" spans="1:3" ht="12.75">
      <c r="A175" s="583"/>
      <c r="B175" s="584"/>
      <c r="C175" s="585"/>
    </row>
    <row r="176" spans="1:3" ht="12.75">
      <c r="A176" s="583"/>
      <c r="B176" s="584"/>
      <c r="C176" s="585"/>
    </row>
    <row r="177" spans="1:3" ht="12.75">
      <c r="A177" s="583"/>
      <c r="B177" s="584"/>
      <c r="C177" s="585"/>
    </row>
    <row r="178" spans="1:3" ht="12.75">
      <c r="A178" s="583"/>
      <c r="B178" s="584"/>
      <c r="C178" s="58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76"/>
  <sheetViews>
    <sheetView zoomScale="120" zoomScaleNormal="120" zoomScaleSheetLayoutView="85" workbookViewId="0" topLeftCell="A1">
      <selection activeCell="E628" sqref="E628"/>
    </sheetView>
  </sheetViews>
  <sheetFormatPr defaultColWidth="9.00390625" defaultRowHeight="12.75"/>
  <cols>
    <col min="1" max="1" width="19.50390625" style="364" customWidth="1"/>
    <col min="2" max="2" width="72.00390625" style="365" customWidth="1"/>
    <col min="3" max="3" width="25.00390625" style="366" customWidth="1"/>
    <col min="4" max="16384" width="9.375" style="3" customWidth="1"/>
  </cols>
  <sheetData>
    <row r="1" spans="1:3" s="2" customFormat="1" ht="16.5" customHeight="1" thickBot="1">
      <c r="A1" s="564"/>
      <c r="B1" s="565"/>
      <c r="C1" s="561" t="str">
        <f>CONCATENATE("9.1.3. melléklet ",ALAPADATOK!A7," ",ALAPADATOK!B7," ",ALAPADATOK!C7," ",ALAPADATOK!D7," ",ALAPADATOK!E7," ",ALAPADATOK!F7," ",ALAPADATOK!G7," ",ALAPADATOK!H7)</f>
        <v>9.1.3. melléklet a … / 2021 ( … ) önkormányzati rendelethez</v>
      </c>
    </row>
    <row r="2" spans="1:3" s="86" customFormat="1" ht="21" customHeight="1">
      <c r="A2" s="566" t="s">
        <v>61</v>
      </c>
      <c r="B2" s="567" t="str">
        <f>CONCATENATE(ALAPADATOK!A3)</f>
        <v>SOLYMÁR NAGYKÖZSÉG ÖNKORMÁNYZATA</v>
      </c>
      <c r="C2" s="568" t="s">
        <v>54</v>
      </c>
    </row>
    <row r="3" spans="1:3" s="86" customFormat="1" ht="16.5" thickBot="1">
      <c r="A3" s="569" t="s">
        <v>199</v>
      </c>
      <c r="B3" s="570" t="s">
        <v>519</v>
      </c>
      <c r="C3" s="571" t="s">
        <v>422</v>
      </c>
    </row>
    <row r="4" spans="1:3" s="87" customFormat="1" ht="22.5" customHeight="1" thickBot="1">
      <c r="A4" s="572"/>
      <c r="B4" s="572"/>
      <c r="C4" s="573" t="str">
        <f>'KV_9.1.2.sz.mell.'!C4</f>
        <v>Forintban!</v>
      </c>
    </row>
    <row r="5" spans="1:3" ht="13.5" thickBot="1">
      <c r="A5" s="574" t="s">
        <v>201</v>
      </c>
      <c r="B5" s="575" t="s">
        <v>553</v>
      </c>
      <c r="C5" s="576" t="s">
        <v>55</v>
      </c>
    </row>
    <row r="6" spans="1:3" s="67" customFormat="1" ht="12.75" customHeight="1" thickBot="1">
      <c r="A6" s="577"/>
      <c r="B6" s="578" t="s">
        <v>484</v>
      </c>
      <c r="C6" s="579" t="s">
        <v>485</v>
      </c>
    </row>
    <row r="7" spans="1:3" s="67" customFormat="1" ht="15.75" customHeight="1" thickBot="1">
      <c r="A7" s="208"/>
      <c r="B7" s="209" t="s">
        <v>56</v>
      </c>
      <c r="C7" s="332"/>
    </row>
    <row r="8" spans="1:3" s="67" customFormat="1" ht="12" customHeight="1" thickBot="1">
      <c r="A8" s="31" t="s">
        <v>18</v>
      </c>
      <c r="B8" s="21" t="s">
        <v>245</v>
      </c>
      <c r="C8" s="272">
        <f>+C9+C10+C11+C12+C13+C14</f>
        <v>0</v>
      </c>
    </row>
    <row r="9" spans="1:3" s="88" customFormat="1" ht="12" customHeight="1">
      <c r="A9" s="408" t="s">
        <v>98</v>
      </c>
      <c r="B9" s="389" t="s">
        <v>246</v>
      </c>
      <c r="C9" s="275"/>
    </row>
    <row r="10" spans="1:3" s="89" customFormat="1" ht="12" customHeight="1">
      <c r="A10" s="409" t="s">
        <v>99</v>
      </c>
      <c r="B10" s="390" t="s">
        <v>247</v>
      </c>
      <c r="C10" s="274"/>
    </row>
    <row r="11" spans="1:3" s="89" customFormat="1" ht="12" customHeight="1">
      <c r="A11" s="409" t="s">
        <v>100</v>
      </c>
      <c r="B11" s="390" t="s">
        <v>541</v>
      </c>
      <c r="C11" s="274"/>
    </row>
    <row r="12" spans="1:3" s="89" customFormat="1" ht="12" customHeight="1">
      <c r="A12" s="409" t="s">
        <v>101</v>
      </c>
      <c r="B12" s="390" t="s">
        <v>249</v>
      </c>
      <c r="C12" s="274"/>
    </row>
    <row r="13" spans="1:3" s="89" customFormat="1" ht="12" customHeight="1">
      <c r="A13" s="409" t="s">
        <v>146</v>
      </c>
      <c r="B13" s="390" t="s">
        <v>497</v>
      </c>
      <c r="C13" s="274"/>
    </row>
    <row r="14" spans="1:3" s="88" customFormat="1" ht="12" customHeight="1" thickBot="1">
      <c r="A14" s="410" t="s">
        <v>102</v>
      </c>
      <c r="B14" s="391" t="s">
        <v>424</v>
      </c>
      <c r="C14" s="274"/>
    </row>
    <row r="15" spans="1:3" s="88" customFormat="1" ht="12" customHeight="1" thickBot="1">
      <c r="A15" s="31" t="s">
        <v>19</v>
      </c>
      <c r="B15" s="267" t="s">
        <v>250</v>
      </c>
      <c r="C15" s="272">
        <f>+C16+C17+C18+C19+C20</f>
        <v>0</v>
      </c>
    </row>
    <row r="16" spans="1:3" s="88" customFormat="1" ht="12" customHeight="1">
      <c r="A16" s="408" t="s">
        <v>104</v>
      </c>
      <c r="B16" s="389" t="s">
        <v>251</v>
      </c>
      <c r="C16" s="275"/>
    </row>
    <row r="17" spans="1:3" s="88" customFormat="1" ht="12" customHeight="1">
      <c r="A17" s="409" t="s">
        <v>105</v>
      </c>
      <c r="B17" s="390" t="s">
        <v>252</v>
      </c>
      <c r="C17" s="274"/>
    </row>
    <row r="18" spans="1:3" s="88" customFormat="1" ht="12" customHeight="1">
      <c r="A18" s="409" t="s">
        <v>106</v>
      </c>
      <c r="B18" s="390" t="s">
        <v>413</v>
      </c>
      <c r="C18" s="274"/>
    </row>
    <row r="19" spans="1:3" s="88" customFormat="1" ht="12" customHeight="1">
      <c r="A19" s="409" t="s">
        <v>107</v>
      </c>
      <c r="B19" s="390" t="s">
        <v>414</v>
      </c>
      <c r="C19" s="274"/>
    </row>
    <row r="20" spans="1:3" s="88" customFormat="1" ht="12" customHeight="1">
      <c r="A20" s="409" t="s">
        <v>108</v>
      </c>
      <c r="B20" s="390" t="s">
        <v>253</v>
      </c>
      <c r="C20" s="274"/>
    </row>
    <row r="21" spans="1:3" s="89" customFormat="1" ht="12" customHeight="1" thickBot="1">
      <c r="A21" s="410" t="s">
        <v>117</v>
      </c>
      <c r="B21" s="391" t="s">
        <v>254</v>
      </c>
      <c r="C21" s="276"/>
    </row>
    <row r="22" spans="1:3" s="89" customFormat="1" ht="12" customHeight="1" thickBot="1">
      <c r="A22" s="31" t="s">
        <v>20</v>
      </c>
      <c r="B22" s="21" t="s">
        <v>255</v>
      </c>
      <c r="C22" s="272">
        <f>+C23+C24+C25+C26+C27</f>
        <v>0</v>
      </c>
    </row>
    <row r="23" spans="1:3" s="89" customFormat="1" ht="12" customHeight="1">
      <c r="A23" s="408" t="s">
        <v>87</v>
      </c>
      <c r="B23" s="389" t="s">
        <v>256</v>
      </c>
      <c r="C23" s="275"/>
    </row>
    <row r="24" spans="1:3" s="88" customFormat="1" ht="12" customHeight="1">
      <c r="A24" s="409" t="s">
        <v>88</v>
      </c>
      <c r="B24" s="390" t="s">
        <v>257</v>
      </c>
      <c r="C24" s="274"/>
    </row>
    <row r="25" spans="1:3" s="89" customFormat="1" ht="12" customHeight="1">
      <c r="A25" s="409" t="s">
        <v>89</v>
      </c>
      <c r="B25" s="390" t="s">
        <v>415</v>
      </c>
      <c r="C25" s="274"/>
    </row>
    <row r="26" spans="1:3" s="89" customFormat="1" ht="12" customHeight="1">
      <c r="A26" s="409" t="s">
        <v>90</v>
      </c>
      <c r="B26" s="390" t="s">
        <v>416</v>
      </c>
      <c r="C26" s="274"/>
    </row>
    <row r="27" spans="1:3" s="89" customFormat="1" ht="12" customHeight="1">
      <c r="A27" s="409" t="s">
        <v>169</v>
      </c>
      <c r="B27" s="390" t="s">
        <v>258</v>
      </c>
      <c r="C27" s="274"/>
    </row>
    <row r="28" spans="1:3" s="89" customFormat="1" ht="12" customHeight="1" thickBot="1">
      <c r="A28" s="410" t="s">
        <v>170</v>
      </c>
      <c r="B28" s="391" t="s">
        <v>259</v>
      </c>
      <c r="C28" s="276"/>
    </row>
    <row r="29" spans="1:3" s="89" customFormat="1" ht="12" customHeight="1" thickBot="1">
      <c r="A29" s="31" t="s">
        <v>171</v>
      </c>
      <c r="B29" s="21" t="s">
        <v>260</v>
      </c>
      <c r="C29" s="278">
        <f>SUM(C30:C36)</f>
        <v>832000000</v>
      </c>
    </row>
    <row r="30" spans="1:3" s="89" customFormat="1" ht="12" customHeight="1">
      <c r="A30" s="408" t="s">
        <v>261</v>
      </c>
      <c r="B30" s="389" t="str">
        <f>'KV_1.1.sz.mell.'!B32</f>
        <v>Építményadó</v>
      </c>
      <c r="C30" s="275">
        <v>211000000</v>
      </c>
    </row>
    <row r="31" spans="1:3" s="89" customFormat="1" ht="12" customHeight="1">
      <c r="A31" s="409" t="s">
        <v>262</v>
      </c>
      <c r="B31" s="389" t="str">
        <f>'KV_1.1.sz.mell.'!B33</f>
        <v>Telekadó</v>
      </c>
      <c r="C31" s="274">
        <v>135000000</v>
      </c>
    </row>
    <row r="32" spans="1:3" s="89" customFormat="1" ht="12" customHeight="1">
      <c r="A32" s="409" t="s">
        <v>263</v>
      </c>
      <c r="B32" s="389" t="str">
        <f>'KV_1.1.sz.mell.'!B34</f>
        <v>Iparűzési adó</v>
      </c>
      <c r="C32" s="274">
        <v>480000000</v>
      </c>
    </row>
    <row r="33" spans="1:3" s="89" customFormat="1" ht="12" customHeight="1">
      <c r="A33" s="409" t="s">
        <v>264</v>
      </c>
      <c r="B33" s="389" t="str">
        <f>'KV_1.1.sz.mell.'!B35</f>
        <v>Talajterhelési díj</v>
      </c>
      <c r="C33" s="274">
        <v>2000000</v>
      </c>
    </row>
    <row r="34" spans="1:3" s="89" customFormat="1" ht="12" customHeight="1">
      <c r="A34" s="409" t="s">
        <v>543</v>
      </c>
      <c r="B34" s="389" t="str">
        <f>'KV_1.1.sz.mell.'!B36</f>
        <v>Gépjárműadó</v>
      </c>
      <c r="C34" s="274"/>
    </row>
    <row r="35" spans="1:3" s="89" customFormat="1" ht="12" customHeight="1">
      <c r="A35" s="409" t="s">
        <v>544</v>
      </c>
      <c r="B35" s="389" t="str">
        <f>'KV_1.1.sz.mell.'!B37</f>
        <v>Adópótlék, adóbírság</v>
      </c>
      <c r="C35" s="274">
        <v>4000000</v>
      </c>
    </row>
    <row r="36" spans="1:3" s="89" customFormat="1" ht="12" customHeight="1" thickBot="1">
      <c r="A36" s="410" t="s">
        <v>545</v>
      </c>
      <c r="B36" s="389" t="str">
        <f>'KV_1.1.sz.mell.'!B38</f>
        <v>Egyéb  közhatalmi bevételek</v>
      </c>
      <c r="C36" s="276"/>
    </row>
    <row r="37" spans="1:3" s="89" customFormat="1" ht="12" customHeight="1" thickBot="1">
      <c r="A37" s="31" t="s">
        <v>22</v>
      </c>
      <c r="B37" s="21" t="s">
        <v>425</v>
      </c>
      <c r="C37" s="272">
        <f>SUM(C38:C48)</f>
        <v>0</v>
      </c>
    </row>
    <row r="38" spans="1:3" s="89" customFormat="1" ht="12" customHeight="1">
      <c r="A38" s="408" t="s">
        <v>91</v>
      </c>
      <c r="B38" s="389" t="s">
        <v>268</v>
      </c>
      <c r="C38" s="275"/>
    </row>
    <row r="39" spans="1:3" s="89" customFormat="1" ht="12" customHeight="1">
      <c r="A39" s="409" t="s">
        <v>92</v>
      </c>
      <c r="B39" s="390" t="s">
        <v>269</v>
      </c>
      <c r="C39" s="274"/>
    </row>
    <row r="40" spans="1:3" s="89" customFormat="1" ht="12" customHeight="1">
      <c r="A40" s="409" t="s">
        <v>93</v>
      </c>
      <c r="B40" s="390" t="s">
        <v>270</v>
      </c>
      <c r="C40" s="274"/>
    </row>
    <row r="41" spans="1:3" s="89" customFormat="1" ht="12" customHeight="1">
      <c r="A41" s="409" t="s">
        <v>173</v>
      </c>
      <c r="B41" s="390" t="s">
        <v>271</v>
      </c>
      <c r="C41" s="274"/>
    </row>
    <row r="42" spans="1:3" s="89" customFormat="1" ht="12" customHeight="1">
      <c r="A42" s="409" t="s">
        <v>174</v>
      </c>
      <c r="B42" s="390" t="s">
        <v>272</v>
      </c>
      <c r="C42" s="274"/>
    </row>
    <row r="43" spans="1:3" s="89" customFormat="1" ht="12" customHeight="1">
      <c r="A43" s="409" t="s">
        <v>175</v>
      </c>
      <c r="B43" s="390" t="s">
        <v>273</v>
      </c>
      <c r="C43" s="274"/>
    </row>
    <row r="44" spans="1:3" s="89" customFormat="1" ht="12" customHeight="1">
      <c r="A44" s="409" t="s">
        <v>176</v>
      </c>
      <c r="B44" s="390" t="s">
        <v>274</v>
      </c>
      <c r="C44" s="274"/>
    </row>
    <row r="45" spans="1:3" s="89" customFormat="1" ht="12" customHeight="1">
      <c r="A45" s="409" t="s">
        <v>177</v>
      </c>
      <c r="B45" s="390" t="s">
        <v>549</v>
      </c>
      <c r="C45" s="274"/>
    </row>
    <row r="46" spans="1:3" s="89" customFormat="1" ht="12" customHeight="1">
      <c r="A46" s="409" t="s">
        <v>266</v>
      </c>
      <c r="B46" s="390" t="s">
        <v>276</v>
      </c>
      <c r="C46" s="277"/>
    </row>
    <row r="47" spans="1:3" s="89" customFormat="1" ht="12" customHeight="1">
      <c r="A47" s="410" t="s">
        <v>267</v>
      </c>
      <c r="B47" s="391" t="s">
        <v>427</v>
      </c>
      <c r="C47" s="377"/>
    </row>
    <row r="48" spans="1:3" s="89" customFormat="1" ht="12" customHeight="1" thickBot="1">
      <c r="A48" s="410" t="s">
        <v>426</v>
      </c>
      <c r="B48" s="391" t="s">
        <v>277</v>
      </c>
      <c r="C48" s="377"/>
    </row>
    <row r="49" spans="1:3" s="89" customFormat="1" ht="12" customHeight="1" thickBot="1">
      <c r="A49" s="31" t="s">
        <v>23</v>
      </c>
      <c r="B49" s="21" t="s">
        <v>278</v>
      </c>
      <c r="C49" s="272">
        <f>SUM(C50:C54)</f>
        <v>0</v>
      </c>
    </row>
    <row r="50" spans="1:3" s="89" customFormat="1" ht="12" customHeight="1">
      <c r="A50" s="408" t="s">
        <v>94</v>
      </c>
      <c r="B50" s="389" t="s">
        <v>282</v>
      </c>
      <c r="C50" s="433"/>
    </row>
    <row r="51" spans="1:3" s="89" customFormat="1" ht="12" customHeight="1">
      <c r="A51" s="409" t="s">
        <v>95</v>
      </c>
      <c r="B51" s="390" t="s">
        <v>283</v>
      </c>
      <c r="C51" s="277"/>
    </row>
    <row r="52" spans="1:3" s="89" customFormat="1" ht="12" customHeight="1">
      <c r="A52" s="409" t="s">
        <v>279</v>
      </c>
      <c r="B52" s="390" t="s">
        <v>284</v>
      </c>
      <c r="C52" s="277"/>
    </row>
    <row r="53" spans="1:3" s="89" customFormat="1" ht="12" customHeight="1">
      <c r="A53" s="409" t="s">
        <v>280</v>
      </c>
      <c r="B53" s="390" t="s">
        <v>285</v>
      </c>
      <c r="C53" s="277"/>
    </row>
    <row r="54" spans="1:3" s="89" customFormat="1" ht="12" customHeight="1" thickBot="1">
      <c r="A54" s="410" t="s">
        <v>281</v>
      </c>
      <c r="B54" s="487" t="s">
        <v>286</v>
      </c>
      <c r="C54" s="377"/>
    </row>
    <row r="55" spans="1:3" s="89" customFormat="1" ht="12" customHeight="1" thickBot="1">
      <c r="A55" s="31" t="s">
        <v>178</v>
      </c>
      <c r="B55" s="21" t="s">
        <v>287</v>
      </c>
      <c r="C55" s="272">
        <f>SUM(C56:C58)</f>
        <v>0</v>
      </c>
    </row>
    <row r="56" spans="1:3" s="89" customFormat="1" ht="12" customHeight="1">
      <c r="A56" s="408" t="s">
        <v>96</v>
      </c>
      <c r="B56" s="389" t="s">
        <v>288</v>
      </c>
      <c r="C56" s="275"/>
    </row>
    <row r="57" spans="1:3" s="89" customFormat="1" ht="12" customHeight="1">
      <c r="A57" s="409" t="s">
        <v>97</v>
      </c>
      <c r="B57" s="390" t="s">
        <v>417</v>
      </c>
      <c r="C57" s="274"/>
    </row>
    <row r="58" spans="1:3" s="89" customFormat="1" ht="12" customHeight="1">
      <c r="A58" s="409" t="s">
        <v>291</v>
      </c>
      <c r="B58" s="390" t="s">
        <v>289</v>
      </c>
      <c r="C58" s="274"/>
    </row>
    <row r="59" spans="1:3" s="89" customFormat="1" ht="12" customHeight="1" thickBot="1">
      <c r="A59" s="410" t="s">
        <v>292</v>
      </c>
      <c r="B59" s="487" t="s">
        <v>290</v>
      </c>
      <c r="C59" s="276"/>
    </row>
    <row r="60" spans="1:3" s="89" customFormat="1" ht="12" customHeight="1" thickBot="1">
      <c r="A60" s="31" t="s">
        <v>25</v>
      </c>
      <c r="B60" s="267" t="s">
        <v>293</v>
      </c>
      <c r="C60" s="272">
        <f>SUM(C61:C63)</f>
        <v>0</v>
      </c>
    </row>
    <row r="61" spans="1:3" s="89" customFormat="1" ht="12" customHeight="1">
      <c r="A61" s="408" t="s">
        <v>179</v>
      </c>
      <c r="B61" s="389" t="s">
        <v>295</v>
      </c>
      <c r="C61" s="277"/>
    </row>
    <row r="62" spans="1:3" s="89" customFormat="1" ht="12" customHeight="1">
      <c r="A62" s="409" t="s">
        <v>180</v>
      </c>
      <c r="B62" s="390" t="s">
        <v>418</v>
      </c>
      <c r="C62" s="277"/>
    </row>
    <row r="63" spans="1:3" s="89" customFormat="1" ht="12" customHeight="1">
      <c r="A63" s="409" t="s">
        <v>224</v>
      </c>
      <c r="B63" s="390" t="s">
        <v>296</v>
      </c>
      <c r="C63" s="277"/>
    </row>
    <row r="64" spans="1:3" s="89" customFormat="1" ht="12" customHeight="1" thickBot="1">
      <c r="A64" s="410" t="s">
        <v>294</v>
      </c>
      <c r="B64" s="487" t="s">
        <v>297</v>
      </c>
      <c r="C64" s="277"/>
    </row>
    <row r="65" spans="1:3" s="89" customFormat="1" ht="12" customHeight="1" thickBot="1">
      <c r="A65" s="31" t="s">
        <v>26</v>
      </c>
      <c r="B65" s="21" t="s">
        <v>298</v>
      </c>
      <c r="C65" s="278">
        <f>+C8+C15+C22+C29+C37+C49+C55+C60</f>
        <v>832000000</v>
      </c>
    </row>
    <row r="66" spans="1:3" s="89" customFormat="1" ht="12" customHeight="1" thickBot="1">
      <c r="A66" s="411" t="s">
        <v>385</v>
      </c>
      <c r="B66" s="267" t="s">
        <v>300</v>
      </c>
      <c r="C66" s="272">
        <f>SUM(C67:C69)</f>
        <v>0</v>
      </c>
    </row>
    <row r="67" spans="1:3" s="89" customFormat="1" ht="12" customHeight="1">
      <c r="A67" s="408" t="s">
        <v>328</v>
      </c>
      <c r="B67" s="389" t="s">
        <v>301</v>
      </c>
      <c r="C67" s="277"/>
    </row>
    <row r="68" spans="1:3" s="89" customFormat="1" ht="12" customHeight="1">
      <c r="A68" s="409" t="s">
        <v>337</v>
      </c>
      <c r="B68" s="390" t="s">
        <v>302</v>
      </c>
      <c r="C68" s="277"/>
    </row>
    <row r="69" spans="1:3" s="89" customFormat="1" ht="12" customHeight="1" thickBot="1">
      <c r="A69" s="410" t="s">
        <v>338</v>
      </c>
      <c r="B69" s="490" t="s">
        <v>303</v>
      </c>
      <c r="C69" s="277"/>
    </row>
    <row r="70" spans="1:3" s="89" customFormat="1" ht="12" customHeight="1" thickBot="1">
      <c r="A70" s="411" t="s">
        <v>304</v>
      </c>
      <c r="B70" s="267" t="s">
        <v>305</v>
      </c>
      <c r="C70" s="272">
        <f>SUM(C71:C74)</f>
        <v>0</v>
      </c>
    </row>
    <row r="71" spans="1:3" s="89" customFormat="1" ht="12" customHeight="1">
      <c r="A71" s="408" t="s">
        <v>147</v>
      </c>
      <c r="B71" s="389" t="s">
        <v>306</v>
      </c>
      <c r="C71" s="277"/>
    </row>
    <row r="72" spans="1:3" s="89" customFormat="1" ht="12" customHeight="1">
      <c r="A72" s="409" t="s">
        <v>148</v>
      </c>
      <c r="B72" s="390" t="s">
        <v>559</v>
      </c>
      <c r="C72" s="277"/>
    </row>
    <row r="73" spans="1:3" s="89" customFormat="1" ht="12" customHeight="1">
      <c r="A73" s="409" t="s">
        <v>329</v>
      </c>
      <c r="B73" s="390" t="s">
        <v>307</v>
      </c>
      <c r="C73" s="277"/>
    </row>
    <row r="74" spans="1:3" s="89" customFormat="1" ht="12" customHeight="1">
      <c r="A74" s="409" t="s">
        <v>330</v>
      </c>
      <c r="B74" s="268" t="s">
        <v>560</v>
      </c>
      <c r="C74" s="277"/>
    </row>
    <row r="75" spans="1:3" s="89" customFormat="1" ht="12" customHeight="1" thickBot="1">
      <c r="A75" s="415" t="s">
        <v>308</v>
      </c>
      <c r="B75" s="546" t="s">
        <v>309</v>
      </c>
      <c r="C75" s="457">
        <f>SUM(C76:C77)</f>
        <v>0</v>
      </c>
    </row>
    <row r="76" spans="1:3" s="89" customFormat="1" ht="12" customHeight="1">
      <c r="A76" s="408" t="s">
        <v>331</v>
      </c>
      <c r="B76" s="389" t="s">
        <v>310</v>
      </c>
      <c r="C76" s="277"/>
    </row>
    <row r="77" spans="1:3" s="89" customFormat="1" ht="12" customHeight="1" thickBot="1">
      <c r="A77" s="410" t="s">
        <v>332</v>
      </c>
      <c r="B77" s="391" t="s">
        <v>311</v>
      </c>
      <c r="C77" s="277"/>
    </row>
    <row r="78" spans="1:3" s="88" customFormat="1" ht="12" customHeight="1" thickBot="1">
      <c r="A78" s="411" t="s">
        <v>312</v>
      </c>
      <c r="B78" s="267" t="s">
        <v>313</v>
      </c>
      <c r="C78" s="272">
        <f>SUM(C79:C81)</f>
        <v>0</v>
      </c>
    </row>
    <row r="79" spans="1:3" s="89" customFormat="1" ht="12" customHeight="1">
      <c r="A79" s="408" t="s">
        <v>333</v>
      </c>
      <c r="B79" s="389" t="s">
        <v>314</v>
      </c>
      <c r="C79" s="277"/>
    </row>
    <row r="80" spans="1:3" s="89" customFormat="1" ht="12" customHeight="1">
      <c r="A80" s="409" t="s">
        <v>334</v>
      </c>
      <c r="B80" s="390" t="s">
        <v>315</v>
      </c>
      <c r="C80" s="277"/>
    </row>
    <row r="81" spans="1:3" s="89" customFormat="1" ht="12" customHeight="1" thickBot="1">
      <c r="A81" s="410" t="s">
        <v>335</v>
      </c>
      <c r="B81" s="391" t="s">
        <v>561</v>
      </c>
      <c r="C81" s="277"/>
    </row>
    <row r="82" spans="1:3" s="89" customFormat="1" ht="12" customHeight="1" thickBot="1">
      <c r="A82" s="411" t="s">
        <v>316</v>
      </c>
      <c r="B82" s="267" t="s">
        <v>336</v>
      </c>
      <c r="C82" s="272">
        <f>SUM(C83:C86)</f>
        <v>0</v>
      </c>
    </row>
    <row r="83" spans="1:3" s="89" customFormat="1" ht="12" customHeight="1">
      <c r="A83" s="412" t="s">
        <v>317</v>
      </c>
      <c r="B83" s="389" t="s">
        <v>318</v>
      </c>
      <c r="C83" s="277"/>
    </row>
    <row r="84" spans="1:3" s="89" customFormat="1" ht="12" customHeight="1">
      <c r="A84" s="413" t="s">
        <v>319</v>
      </c>
      <c r="B84" s="390" t="s">
        <v>320</v>
      </c>
      <c r="C84" s="277"/>
    </row>
    <row r="85" spans="1:3" s="89" customFormat="1" ht="12" customHeight="1">
      <c r="A85" s="413" t="s">
        <v>321</v>
      </c>
      <c r="B85" s="390" t="s">
        <v>322</v>
      </c>
      <c r="C85" s="277"/>
    </row>
    <row r="86" spans="1:3" s="88" customFormat="1" ht="12" customHeight="1" thickBot="1">
      <c r="A86" s="414" t="s">
        <v>323</v>
      </c>
      <c r="B86" s="391" t="s">
        <v>324</v>
      </c>
      <c r="C86" s="277"/>
    </row>
    <row r="87" spans="1:3" s="88" customFormat="1" ht="12" customHeight="1" thickBot="1">
      <c r="A87" s="411" t="s">
        <v>325</v>
      </c>
      <c r="B87" s="267" t="s">
        <v>466</v>
      </c>
      <c r="C87" s="434"/>
    </row>
    <row r="88" spans="1:3" s="88" customFormat="1" ht="12" customHeight="1" thickBot="1">
      <c r="A88" s="411" t="s">
        <v>498</v>
      </c>
      <c r="B88" s="267" t="s">
        <v>326</v>
      </c>
      <c r="C88" s="434"/>
    </row>
    <row r="89" spans="1:3" s="88" customFormat="1" ht="12" customHeight="1" thickBot="1">
      <c r="A89" s="411" t="s">
        <v>499</v>
      </c>
      <c r="B89" s="396" t="s">
        <v>469</v>
      </c>
      <c r="C89" s="278">
        <f>+C66+C70+C75+C78+C82+C88+C87</f>
        <v>0</v>
      </c>
    </row>
    <row r="90" spans="1:3" s="88" customFormat="1" ht="12" customHeight="1" thickBot="1">
      <c r="A90" s="415" t="s">
        <v>500</v>
      </c>
      <c r="B90" s="397" t="s">
        <v>501</v>
      </c>
      <c r="C90" s="278">
        <f>+C65+C89</f>
        <v>832000000</v>
      </c>
    </row>
    <row r="91" spans="1:3" s="89" customFormat="1" ht="15.75" customHeight="1" thickBot="1">
      <c r="A91" s="214"/>
      <c r="B91" s="215"/>
      <c r="C91" s="337"/>
    </row>
    <row r="92" spans="1:3" s="67" customFormat="1" ht="16.5" customHeight="1" thickBot="1">
      <c r="A92" s="218"/>
      <c r="B92" s="219" t="s">
        <v>57</v>
      </c>
      <c r="C92" s="339"/>
    </row>
    <row r="93" spans="1:3" s="90" customFormat="1" ht="12" customHeight="1" thickBot="1">
      <c r="A93" s="383" t="s">
        <v>18</v>
      </c>
      <c r="B93" s="28" t="s">
        <v>505</v>
      </c>
      <c r="C93" s="271">
        <f>+C94+C95+C96+C97+C98+C111</f>
        <v>0</v>
      </c>
    </row>
    <row r="94" spans="1:3" ht="12" customHeight="1">
      <c r="A94" s="416" t="s">
        <v>98</v>
      </c>
      <c r="B94" s="10" t="s">
        <v>49</v>
      </c>
      <c r="C94" s="273"/>
    </row>
    <row r="95" spans="1:3" ht="12" customHeight="1">
      <c r="A95" s="409" t="s">
        <v>99</v>
      </c>
      <c r="B95" s="8" t="s">
        <v>181</v>
      </c>
      <c r="C95" s="274"/>
    </row>
    <row r="96" spans="1:3" ht="12" customHeight="1">
      <c r="A96" s="409" t="s">
        <v>100</v>
      </c>
      <c r="B96" s="8" t="s">
        <v>138</v>
      </c>
      <c r="C96" s="276"/>
    </row>
    <row r="97" spans="1:3" ht="12" customHeight="1">
      <c r="A97" s="409" t="s">
        <v>101</v>
      </c>
      <c r="B97" s="11" t="s">
        <v>182</v>
      </c>
      <c r="C97" s="276"/>
    </row>
    <row r="98" spans="1:3" ht="12" customHeight="1">
      <c r="A98" s="409" t="s">
        <v>112</v>
      </c>
      <c r="B98" s="19" t="s">
        <v>183</v>
      </c>
      <c r="C98" s="276"/>
    </row>
    <row r="99" spans="1:3" ht="12" customHeight="1">
      <c r="A99" s="409" t="s">
        <v>102</v>
      </c>
      <c r="B99" s="8" t="s">
        <v>502</v>
      </c>
      <c r="C99" s="276"/>
    </row>
    <row r="100" spans="1:3" ht="12" customHeight="1">
      <c r="A100" s="409" t="s">
        <v>103</v>
      </c>
      <c r="B100" s="137" t="s">
        <v>432</v>
      </c>
      <c r="C100" s="276"/>
    </row>
    <row r="101" spans="1:3" ht="12" customHeight="1">
      <c r="A101" s="409" t="s">
        <v>113</v>
      </c>
      <c r="B101" s="137" t="s">
        <v>431</v>
      </c>
      <c r="C101" s="276"/>
    </row>
    <row r="102" spans="1:3" ht="12" customHeight="1">
      <c r="A102" s="409" t="s">
        <v>114</v>
      </c>
      <c r="B102" s="137" t="s">
        <v>342</v>
      </c>
      <c r="C102" s="276"/>
    </row>
    <row r="103" spans="1:3" ht="12" customHeight="1">
      <c r="A103" s="409" t="s">
        <v>115</v>
      </c>
      <c r="B103" s="138" t="s">
        <v>343</v>
      </c>
      <c r="C103" s="276"/>
    </row>
    <row r="104" spans="1:3" ht="12" customHeight="1">
      <c r="A104" s="409" t="s">
        <v>116</v>
      </c>
      <c r="B104" s="138" t="s">
        <v>344</v>
      </c>
      <c r="C104" s="276"/>
    </row>
    <row r="105" spans="1:3" ht="12" customHeight="1">
      <c r="A105" s="409" t="s">
        <v>118</v>
      </c>
      <c r="B105" s="137" t="s">
        <v>345</v>
      </c>
      <c r="C105" s="276"/>
    </row>
    <row r="106" spans="1:3" ht="12" customHeight="1">
      <c r="A106" s="409" t="s">
        <v>184</v>
      </c>
      <c r="B106" s="137" t="s">
        <v>346</v>
      </c>
      <c r="C106" s="276"/>
    </row>
    <row r="107" spans="1:3" ht="12" customHeight="1">
      <c r="A107" s="409" t="s">
        <v>340</v>
      </c>
      <c r="B107" s="138" t="s">
        <v>347</v>
      </c>
      <c r="C107" s="276"/>
    </row>
    <row r="108" spans="1:3" ht="12" customHeight="1">
      <c r="A108" s="417" t="s">
        <v>341</v>
      </c>
      <c r="B108" s="139" t="s">
        <v>348</v>
      </c>
      <c r="C108" s="276"/>
    </row>
    <row r="109" spans="1:3" ht="12" customHeight="1">
      <c r="A109" s="409" t="s">
        <v>429</v>
      </c>
      <c r="B109" s="139" t="s">
        <v>349</v>
      </c>
      <c r="C109" s="276"/>
    </row>
    <row r="110" spans="1:3" ht="12" customHeight="1">
      <c r="A110" s="409" t="s">
        <v>430</v>
      </c>
      <c r="B110" s="138" t="s">
        <v>350</v>
      </c>
      <c r="C110" s="274"/>
    </row>
    <row r="111" spans="1:3" ht="12" customHeight="1">
      <c r="A111" s="409" t="s">
        <v>434</v>
      </c>
      <c r="B111" s="11" t="s">
        <v>50</v>
      </c>
      <c r="C111" s="274"/>
    </row>
    <row r="112" spans="1:3" ht="12" customHeight="1">
      <c r="A112" s="410" t="s">
        <v>435</v>
      </c>
      <c r="B112" s="8" t="s">
        <v>503</v>
      </c>
      <c r="C112" s="276"/>
    </row>
    <row r="113" spans="1:3" ht="12" customHeight="1" thickBot="1">
      <c r="A113" s="418" t="s">
        <v>436</v>
      </c>
      <c r="B113" s="140" t="s">
        <v>504</v>
      </c>
      <c r="C113" s="280"/>
    </row>
    <row r="114" spans="1:3" ht="12" customHeight="1" thickBot="1">
      <c r="A114" s="31" t="s">
        <v>19</v>
      </c>
      <c r="B114" s="27" t="s">
        <v>351</v>
      </c>
      <c r="C114" s="272">
        <f>+C115+C117+C119</f>
        <v>0</v>
      </c>
    </row>
    <row r="115" spans="1:3" ht="12" customHeight="1">
      <c r="A115" s="408" t="s">
        <v>104</v>
      </c>
      <c r="B115" s="8" t="s">
        <v>223</v>
      </c>
      <c r="C115" s="275"/>
    </row>
    <row r="116" spans="1:3" ht="12" customHeight="1">
      <c r="A116" s="408" t="s">
        <v>105</v>
      </c>
      <c r="B116" s="12" t="s">
        <v>355</v>
      </c>
      <c r="C116" s="275"/>
    </row>
    <row r="117" spans="1:3" ht="12" customHeight="1">
      <c r="A117" s="408" t="s">
        <v>106</v>
      </c>
      <c r="B117" s="12" t="s">
        <v>185</v>
      </c>
      <c r="C117" s="274"/>
    </row>
    <row r="118" spans="1:3" ht="12" customHeight="1">
      <c r="A118" s="408" t="s">
        <v>107</v>
      </c>
      <c r="B118" s="12" t="s">
        <v>356</v>
      </c>
      <c r="C118" s="240"/>
    </row>
    <row r="119" spans="1:3" ht="12" customHeight="1">
      <c r="A119" s="408" t="s">
        <v>108</v>
      </c>
      <c r="B119" s="269" t="s">
        <v>225</v>
      </c>
      <c r="C119" s="240"/>
    </row>
    <row r="120" spans="1:3" ht="12" customHeight="1">
      <c r="A120" s="408" t="s">
        <v>117</v>
      </c>
      <c r="B120" s="268" t="s">
        <v>419</v>
      </c>
      <c r="C120" s="240"/>
    </row>
    <row r="121" spans="1:3" ht="12" customHeight="1">
      <c r="A121" s="408" t="s">
        <v>119</v>
      </c>
      <c r="B121" s="385" t="s">
        <v>361</v>
      </c>
      <c r="C121" s="240"/>
    </row>
    <row r="122" spans="1:3" ht="12" customHeight="1">
      <c r="A122" s="408" t="s">
        <v>186</v>
      </c>
      <c r="B122" s="138" t="s">
        <v>344</v>
      </c>
      <c r="C122" s="240"/>
    </row>
    <row r="123" spans="1:3" ht="12" customHeight="1">
      <c r="A123" s="408" t="s">
        <v>187</v>
      </c>
      <c r="B123" s="138" t="s">
        <v>360</v>
      </c>
      <c r="C123" s="240"/>
    </row>
    <row r="124" spans="1:3" ht="12" customHeight="1">
      <c r="A124" s="408" t="s">
        <v>188</v>
      </c>
      <c r="B124" s="138" t="s">
        <v>359</v>
      </c>
      <c r="C124" s="240"/>
    </row>
    <row r="125" spans="1:3" ht="12" customHeight="1">
      <c r="A125" s="408" t="s">
        <v>352</v>
      </c>
      <c r="B125" s="138" t="s">
        <v>347</v>
      </c>
      <c r="C125" s="240"/>
    </row>
    <row r="126" spans="1:3" ht="12" customHeight="1">
      <c r="A126" s="408" t="s">
        <v>353</v>
      </c>
      <c r="B126" s="138" t="s">
        <v>358</v>
      </c>
      <c r="C126" s="240"/>
    </row>
    <row r="127" spans="1:3" ht="12" customHeight="1" thickBot="1">
      <c r="A127" s="417" t="s">
        <v>354</v>
      </c>
      <c r="B127" s="138" t="s">
        <v>357</v>
      </c>
      <c r="C127" s="242"/>
    </row>
    <row r="128" spans="1:3" ht="12" customHeight="1" thickBot="1">
      <c r="A128" s="31" t="s">
        <v>20</v>
      </c>
      <c r="B128" s="119" t="s">
        <v>439</v>
      </c>
      <c r="C128" s="272">
        <f>+C93+C114</f>
        <v>0</v>
      </c>
    </row>
    <row r="129" spans="1:3" ht="12" customHeight="1" thickBot="1">
      <c r="A129" s="31" t="s">
        <v>21</v>
      </c>
      <c r="B129" s="119" t="s">
        <v>440</v>
      </c>
      <c r="C129" s="272">
        <f>+C130+C131+C132</f>
        <v>0</v>
      </c>
    </row>
    <row r="130" spans="1:3" s="90" customFormat="1" ht="12" customHeight="1">
      <c r="A130" s="408" t="s">
        <v>261</v>
      </c>
      <c r="B130" s="9" t="s">
        <v>508</v>
      </c>
      <c r="C130" s="240"/>
    </row>
    <row r="131" spans="1:3" ht="12" customHeight="1">
      <c r="A131" s="408" t="s">
        <v>262</v>
      </c>
      <c r="B131" s="9" t="s">
        <v>448</v>
      </c>
      <c r="C131" s="240"/>
    </row>
    <row r="132" spans="1:3" ht="12" customHeight="1" thickBot="1">
      <c r="A132" s="417" t="s">
        <v>263</v>
      </c>
      <c r="B132" s="7" t="s">
        <v>507</v>
      </c>
      <c r="C132" s="240"/>
    </row>
    <row r="133" spans="1:3" ht="12" customHeight="1" thickBot="1">
      <c r="A133" s="31" t="s">
        <v>22</v>
      </c>
      <c r="B133" s="119" t="s">
        <v>441</v>
      </c>
      <c r="C133" s="272">
        <f>+C134+C135+C136+C137+C138+C139</f>
        <v>0</v>
      </c>
    </row>
    <row r="134" spans="1:3" ht="12" customHeight="1">
      <c r="A134" s="408" t="s">
        <v>91</v>
      </c>
      <c r="B134" s="9" t="s">
        <v>450</v>
      </c>
      <c r="C134" s="240"/>
    </row>
    <row r="135" spans="1:3" ht="12" customHeight="1">
      <c r="A135" s="408" t="s">
        <v>92</v>
      </c>
      <c r="B135" s="9" t="s">
        <v>442</v>
      </c>
      <c r="C135" s="240"/>
    </row>
    <row r="136" spans="1:3" ht="12" customHeight="1">
      <c r="A136" s="408" t="s">
        <v>93</v>
      </c>
      <c r="B136" s="9" t="s">
        <v>443</v>
      </c>
      <c r="C136" s="240"/>
    </row>
    <row r="137" spans="1:3" ht="12" customHeight="1">
      <c r="A137" s="408" t="s">
        <v>173</v>
      </c>
      <c r="B137" s="9" t="s">
        <v>506</v>
      </c>
      <c r="C137" s="240"/>
    </row>
    <row r="138" spans="1:3" ht="12" customHeight="1">
      <c r="A138" s="408" t="s">
        <v>174</v>
      </c>
      <c r="B138" s="9" t="s">
        <v>445</v>
      </c>
      <c r="C138" s="240"/>
    </row>
    <row r="139" spans="1:3" s="90" customFormat="1" ht="12" customHeight="1" thickBot="1">
      <c r="A139" s="417" t="s">
        <v>175</v>
      </c>
      <c r="B139" s="7" t="s">
        <v>446</v>
      </c>
      <c r="C139" s="240"/>
    </row>
    <row r="140" spans="1:11" ht="12" customHeight="1" thickBot="1">
      <c r="A140" s="31" t="s">
        <v>23</v>
      </c>
      <c r="B140" s="119" t="s">
        <v>532</v>
      </c>
      <c r="C140" s="278">
        <f>+C141+C142+C144+C145+C143</f>
        <v>0</v>
      </c>
      <c r="K140" s="225"/>
    </row>
    <row r="141" spans="1:3" ht="12.75">
      <c r="A141" s="408" t="s">
        <v>94</v>
      </c>
      <c r="B141" s="9" t="s">
        <v>362</v>
      </c>
      <c r="C141" s="240"/>
    </row>
    <row r="142" spans="1:3" ht="12" customHeight="1">
      <c r="A142" s="408" t="s">
        <v>95</v>
      </c>
      <c r="B142" s="9" t="s">
        <v>363</v>
      </c>
      <c r="C142" s="240"/>
    </row>
    <row r="143" spans="1:3" s="90" customFormat="1" ht="12" customHeight="1">
      <c r="A143" s="408" t="s">
        <v>279</v>
      </c>
      <c r="B143" s="9" t="s">
        <v>531</v>
      </c>
      <c r="C143" s="240"/>
    </row>
    <row r="144" spans="1:3" s="90" customFormat="1" ht="12" customHeight="1">
      <c r="A144" s="408" t="s">
        <v>280</v>
      </c>
      <c r="B144" s="9" t="s">
        <v>455</v>
      </c>
      <c r="C144" s="240"/>
    </row>
    <row r="145" spans="1:3" s="90" customFormat="1" ht="12" customHeight="1" thickBot="1">
      <c r="A145" s="417" t="s">
        <v>281</v>
      </c>
      <c r="B145" s="7" t="s">
        <v>381</v>
      </c>
      <c r="C145" s="240"/>
    </row>
    <row r="146" spans="1:3" s="90" customFormat="1" ht="12" customHeight="1" thickBot="1">
      <c r="A146" s="31" t="s">
        <v>24</v>
      </c>
      <c r="B146" s="119" t="s">
        <v>456</v>
      </c>
      <c r="C146" s="281">
        <f>+C147+C148+C149+C150+C151</f>
        <v>0</v>
      </c>
    </row>
    <row r="147" spans="1:3" s="90" customFormat="1" ht="12" customHeight="1">
      <c r="A147" s="408" t="s">
        <v>96</v>
      </c>
      <c r="B147" s="9" t="s">
        <v>451</v>
      </c>
      <c r="C147" s="240"/>
    </row>
    <row r="148" spans="1:3" s="90" customFormat="1" ht="12" customHeight="1">
      <c r="A148" s="408" t="s">
        <v>97</v>
      </c>
      <c r="B148" s="9" t="s">
        <v>458</v>
      </c>
      <c r="C148" s="240"/>
    </row>
    <row r="149" spans="1:3" s="90" customFormat="1" ht="12" customHeight="1">
      <c r="A149" s="408" t="s">
        <v>291</v>
      </c>
      <c r="B149" s="9" t="s">
        <v>453</v>
      </c>
      <c r="C149" s="240"/>
    </row>
    <row r="150" spans="1:3" ht="12.75" customHeight="1">
      <c r="A150" s="408" t="s">
        <v>292</v>
      </c>
      <c r="B150" s="9" t="s">
        <v>509</v>
      </c>
      <c r="C150" s="240"/>
    </row>
    <row r="151" spans="1:3" ht="12.75" customHeight="1" thickBot="1">
      <c r="A151" s="417" t="s">
        <v>457</v>
      </c>
      <c r="B151" s="7" t="s">
        <v>460</v>
      </c>
      <c r="C151" s="242"/>
    </row>
    <row r="152" spans="1:3" ht="12.75" customHeight="1" thickBot="1">
      <c r="A152" s="462" t="s">
        <v>25</v>
      </c>
      <c r="B152" s="119" t="s">
        <v>461</v>
      </c>
      <c r="C152" s="281"/>
    </row>
    <row r="153" spans="1:3" ht="12" customHeight="1" thickBot="1">
      <c r="A153" s="462" t="s">
        <v>26</v>
      </c>
      <c r="B153" s="119" t="s">
        <v>462</v>
      </c>
      <c r="C153" s="281"/>
    </row>
    <row r="154" spans="1:3" ht="15" customHeight="1" thickBot="1">
      <c r="A154" s="31" t="s">
        <v>27</v>
      </c>
      <c r="B154" s="119" t="s">
        <v>464</v>
      </c>
      <c r="C154" s="399">
        <f>+C129+C133+C140+C146+C152+C153</f>
        <v>0</v>
      </c>
    </row>
    <row r="155" spans="1:3" ht="13.5" thickBot="1">
      <c r="A155" s="419" t="s">
        <v>28</v>
      </c>
      <c r="B155" s="354" t="s">
        <v>463</v>
      </c>
      <c r="C155" s="399">
        <f>+C128+C154</f>
        <v>0</v>
      </c>
    </row>
    <row r="156" spans="1:3" ht="13.5" thickBot="1">
      <c r="A156" s="362"/>
      <c r="B156" s="363"/>
      <c r="C156" s="586"/>
    </row>
    <row r="157" spans="1:3" ht="14.25" customHeight="1" thickBot="1">
      <c r="A157" s="223" t="s">
        <v>510</v>
      </c>
      <c r="B157" s="224"/>
      <c r="C157" s="116">
        <v>0</v>
      </c>
    </row>
    <row r="158" spans="1:3" ht="13.5" thickBot="1">
      <c r="A158" s="223" t="s">
        <v>202</v>
      </c>
      <c r="B158" s="224"/>
      <c r="C158" s="116">
        <v>0</v>
      </c>
    </row>
    <row r="159" spans="1:3" ht="12.75">
      <c r="A159" s="583"/>
      <c r="B159" s="584"/>
      <c r="C159" s="585"/>
    </row>
    <row r="160" spans="1:2" ht="12.75">
      <c r="A160" s="583"/>
      <c r="B160" s="584"/>
    </row>
    <row r="161" spans="1:3" ht="12.75">
      <c r="A161" s="583"/>
      <c r="B161" s="584"/>
      <c r="C161" s="585"/>
    </row>
    <row r="162" spans="1:3" ht="12.75">
      <c r="A162" s="583"/>
      <c r="B162" s="584"/>
      <c r="C162" s="585"/>
    </row>
    <row r="163" spans="1:3" ht="12.75">
      <c r="A163" s="583"/>
      <c r="B163" s="584"/>
      <c r="C163" s="585"/>
    </row>
    <row r="164" spans="1:3" ht="12.75">
      <c r="A164" s="583"/>
      <c r="B164" s="584"/>
      <c r="C164" s="585"/>
    </row>
    <row r="165" spans="1:3" ht="12.75">
      <c r="A165" s="583"/>
      <c r="B165" s="584"/>
      <c r="C165" s="585"/>
    </row>
    <row r="166" spans="1:3" ht="12.75">
      <c r="A166" s="583"/>
      <c r="B166" s="584"/>
      <c r="C166" s="585"/>
    </row>
    <row r="167" spans="1:3" ht="12.75">
      <c r="A167" s="583"/>
      <c r="B167" s="584"/>
      <c r="C167" s="585"/>
    </row>
    <row r="168" spans="1:3" ht="12.75">
      <c r="A168" s="583"/>
      <c r="B168" s="584"/>
      <c r="C168" s="585"/>
    </row>
    <row r="169" spans="1:3" ht="12.75">
      <c r="A169" s="583"/>
      <c r="B169" s="584"/>
      <c r="C169" s="585"/>
    </row>
    <row r="170" spans="1:3" ht="12.75">
      <c r="A170" s="583"/>
      <c r="B170" s="584"/>
      <c r="C170" s="585"/>
    </row>
    <row r="171" spans="1:3" ht="12.75">
      <c r="A171" s="583"/>
      <c r="B171" s="584"/>
      <c r="C171" s="585"/>
    </row>
    <row r="172" spans="1:3" ht="12.75">
      <c r="A172" s="583"/>
      <c r="B172" s="584"/>
      <c r="C172" s="585"/>
    </row>
    <row r="173" spans="1:3" ht="12.75">
      <c r="A173" s="583"/>
      <c r="B173" s="584"/>
      <c r="C173" s="585"/>
    </row>
    <row r="174" spans="1:3" ht="12.75">
      <c r="A174" s="583"/>
      <c r="B174" s="584"/>
      <c r="C174" s="585"/>
    </row>
    <row r="175" spans="1:3" ht="12.75">
      <c r="A175" s="583"/>
      <c r="B175" s="584"/>
      <c r="C175" s="585"/>
    </row>
    <row r="176" spans="1:3" ht="12.75">
      <c r="A176" s="583"/>
      <c r="B176" s="584"/>
      <c r="C176" s="58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C83"/>
  <sheetViews>
    <sheetView zoomScale="120" zoomScaleNormal="120" workbookViewId="0" topLeftCell="A36">
      <selection activeCell="C53" sqref="C53"/>
    </sheetView>
  </sheetViews>
  <sheetFormatPr defaultColWidth="9.00390625" defaultRowHeight="12.75"/>
  <cols>
    <col min="1" max="1" width="13.875" style="221" customWidth="1"/>
    <col min="2" max="2" width="79.125" style="222" customWidth="1"/>
    <col min="3" max="3" width="25.00390625" style="222" customWidth="1"/>
    <col min="4" max="16384" width="9.375" style="222" customWidth="1"/>
  </cols>
  <sheetData>
    <row r="1" spans="1:3" s="202" customFormat="1" ht="21" customHeight="1" thickBot="1">
      <c r="A1" s="564"/>
      <c r="B1" s="565"/>
      <c r="C1" s="561" t="str">
        <f>CONCATENATE("9.2. melléklet ",ALAPADATOK!A7," ",ALAPADATOK!B7," ",ALAPADATOK!C7," ",ALAPADATOK!D7," ",ALAPADATOK!E7," ",ALAPADATOK!F7," ",ALAPADATOK!G7," ",ALAPADATOK!H7)</f>
        <v>9.2. melléklet a … / 2021 ( … ) önkormányzati rendelethez</v>
      </c>
    </row>
    <row r="2" spans="1:3" s="428" customFormat="1" ht="36">
      <c r="A2" s="566" t="s">
        <v>200</v>
      </c>
      <c r="B2" s="567" t="str">
        <f>CONCATENATE(ALAPADATOK!A11)</f>
        <v>Solymári Polgármesteri Hivatal</v>
      </c>
      <c r="C2" s="587" t="s">
        <v>59</v>
      </c>
    </row>
    <row r="3" spans="1:3" s="428" customFormat="1" ht="24.75" thickBot="1">
      <c r="A3" s="588" t="s">
        <v>199</v>
      </c>
      <c r="B3" s="570" t="s">
        <v>389</v>
      </c>
      <c r="C3" s="589" t="s">
        <v>54</v>
      </c>
    </row>
    <row r="4" spans="1:3" s="429" customFormat="1" ht="15.75" customHeight="1" thickBot="1">
      <c r="A4" s="572"/>
      <c r="B4" s="572"/>
      <c r="C4" s="573" t="str">
        <f>'KV_9.1.3.sz.mell'!C4</f>
        <v>Forintban!</v>
      </c>
    </row>
    <row r="5" spans="1:3" ht="13.5" thickBot="1">
      <c r="A5" s="574" t="s">
        <v>201</v>
      </c>
      <c r="B5" s="575" t="s">
        <v>553</v>
      </c>
      <c r="C5" s="590" t="s">
        <v>55</v>
      </c>
    </row>
    <row r="6" spans="1:3" s="430" customFormat="1" ht="12.75" customHeight="1" thickBot="1">
      <c r="A6" s="577"/>
      <c r="B6" s="578" t="s">
        <v>484</v>
      </c>
      <c r="C6" s="579" t="s">
        <v>485</v>
      </c>
    </row>
    <row r="7" spans="1:3" s="430" customFormat="1" ht="15.75" customHeight="1" thickBot="1">
      <c r="A7" s="208"/>
      <c r="B7" s="209" t="s">
        <v>56</v>
      </c>
      <c r="C7" s="210"/>
    </row>
    <row r="8" spans="1:3" s="343" customFormat="1" ht="12" customHeight="1" thickBot="1">
      <c r="A8" s="183" t="s">
        <v>18</v>
      </c>
      <c r="B8" s="211" t="s">
        <v>511</v>
      </c>
      <c r="C8" s="292">
        <f>SUM(C9:C19)</f>
        <v>500000</v>
      </c>
    </row>
    <row r="9" spans="1:3" s="343" customFormat="1" ht="12" customHeight="1">
      <c r="A9" s="423" t="s">
        <v>98</v>
      </c>
      <c r="B9" s="10" t="s">
        <v>268</v>
      </c>
      <c r="C9" s="333"/>
    </row>
    <row r="10" spans="1:3" s="343" customFormat="1" ht="12" customHeight="1">
      <c r="A10" s="424" t="s">
        <v>99</v>
      </c>
      <c r="B10" s="8" t="s">
        <v>269</v>
      </c>
      <c r="C10" s="290">
        <v>500000</v>
      </c>
    </row>
    <row r="11" spans="1:3" s="343" customFormat="1" ht="12" customHeight="1">
      <c r="A11" s="424" t="s">
        <v>100</v>
      </c>
      <c r="B11" s="8" t="s">
        <v>270</v>
      </c>
      <c r="C11" s="290"/>
    </row>
    <row r="12" spans="1:3" s="343" customFormat="1" ht="12" customHeight="1">
      <c r="A12" s="424" t="s">
        <v>101</v>
      </c>
      <c r="B12" s="8" t="s">
        <v>271</v>
      </c>
      <c r="C12" s="290"/>
    </row>
    <row r="13" spans="1:3" s="343" customFormat="1" ht="12" customHeight="1">
      <c r="A13" s="424" t="s">
        <v>146</v>
      </c>
      <c r="B13" s="8" t="s">
        <v>272</v>
      </c>
      <c r="C13" s="290"/>
    </row>
    <row r="14" spans="1:3" s="343" customFormat="1" ht="12" customHeight="1">
      <c r="A14" s="424" t="s">
        <v>102</v>
      </c>
      <c r="B14" s="8" t="s">
        <v>390</v>
      </c>
      <c r="C14" s="290"/>
    </row>
    <row r="15" spans="1:3" s="343" customFormat="1" ht="12" customHeight="1">
      <c r="A15" s="424" t="s">
        <v>103</v>
      </c>
      <c r="B15" s="7" t="s">
        <v>391</v>
      </c>
      <c r="C15" s="290"/>
    </row>
    <row r="16" spans="1:3" s="343" customFormat="1" ht="12" customHeight="1">
      <c r="A16" s="424" t="s">
        <v>113</v>
      </c>
      <c r="B16" s="8" t="s">
        <v>275</v>
      </c>
      <c r="C16" s="334"/>
    </row>
    <row r="17" spans="1:3" s="431" customFormat="1" ht="12" customHeight="1">
      <c r="A17" s="424" t="s">
        <v>114</v>
      </c>
      <c r="B17" s="8" t="s">
        <v>276</v>
      </c>
      <c r="C17" s="290"/>
    </row>
    <row r="18" spans="1:3" s="431" customFormat="1" ht="12" customHeight="1">
      <c r="A18" s="424" t="s">
        <v>115</v>
      </c>
      <c r="B18" s="8" t="s">
        <v>427</v>
      </c>
      <c r="C18" s="291"/>
    </row>
    <row r="19" spans="1:3" s="431" customFormat="1" ht="12" customHeight="1" thickBot="1">
      <c r="A19" s="424" t="s">
        <v>116</v>
      </c>
      <c r="B19" s="7" t="s">
        <v>277</v>
      </c>
      <c r="C19" s="291"/>
    </row>
    <row r="20" spans="1:3" s="343" customFormat="1" ht="12" customHeight="1" thickBot="1">
      <c r="A20" s="183" t="s">
        <v>19</v>
      </c>
      <c r="B20" s="211" t="s">
        <v>392</v>
      </c>
      <c r="C20" s="292">
        <f>SUM(C21:C23)</f>
        <v>0</v>
      </c>
    </row>
    <row r="21" spans="1:3" s="431" customFormat="1" ht="12" customHeight="1">
      <c r="A21" s="424" t="s">
        <v>104</v>
      </c>
      <c r="B21" s="9" t="s">
        <v>251</v>
      </c>
      <c r="C21" s="290"/>
    </row>
    <row r="22" spans="1:3" s="431" customFormat="1" ht="12" customHeight="1">
      <c r="A22" s="424" t="s">
        <v>105</v>
      </c>
      <c r="B22" s="8" t="s">
        <v>393</v>
      </c>
      <c r="C22" s="290"/>
    </row>
    <row r="23" spans="1:3" s="431" customFormat="1" ht="12" customHeight="1">
      <c r="A23" s="424" t="s">
        <v>106</v>
      </c>
      <c r="B23" s="8" t="s">
        <v>394</v>
      </c>
      <c r="C23" s="290"/>
    </row>
    <row r="24" spans="1:3" s="431" customFormat="1" ht="12" customHeight="1" thickBot="1">
      <c r="A24" s="424" t="s">
        <v>107</v>
      </c>
      <c r="B24" s="8" t="s">
        <v>512</v>
      </c>
      <c r="C24" s="290"/>
    </row>
    <row r="25" spans="1:3" s="431" customFormat="1" ht="12" customHeight="1" thickBot="1">
      <c r="A25" s="191" t="s">
        <v>20</v>
      </c>
      <c r="B25" s="119" t="s">
        <v>172</v>
      </c>
      <c r="C25" s="318"/>
    </row>
    <row r="26" spans="1:3" s="431" customFormat="1" ht="12" customHeight="1" thickBot="1">
      <c r="A26" s="191" t="s">
        <v>21</v>
      </c>
      <c r="B26" s="119" t="s">
        <v>513</v>
      </c>
      <c r="C26" s="292">
        <f>+C27+C28+C29</f>
        <v>0</v>
      </c>
    </row>
    <row r="27" spans="1:3" s="431" customFormat="1" ht="12" customHeight="1">
      <c r="A27" s="425" t="s">
        <v>261</v>
      </c>
      <c r="B27" s="426" t="s">
        <v>256</v>
      </c>
      <c r="C27" s="75"/>
    </row>
    <row r="28" spans="1:3" s="431" customFormat="1" ht="12" customHeight="1">
      <c r="A28" s="425" t="s">
        <v>262</v>
      </c>
      <c r="B28" s="426" t="s">
        <v>393</v>
      </c>
      <c r="C28" s="290"/>
    </row>
    <row r="29" spans="1:3" s="431" customFormat="1" ht="12" customHeight="1">
      <c r="A29" s="425" t="s">
        <v>263</v>
      </c>
      <c r="B29" s="427" t="s">
        <v>396</v>
      </c>
      <c r="C29" s="290"/>
    </row>
    <row r="30" spans="1:3" s="431" customFormat="1" ht="12" customHeight="1" thickBot="1">
      <c r="A30" s="424" t="s">
        <v>264</v>
      </c>
      <c r="B30" s="136" t="s">
        <v>514</v>
      </c>
      <c r="C30" s="82"/>
    </row>
    <row r="31" spans="1:3" s="431" customFormat="1" ht="12" customHeight="1" thickBot="1">
      <c r="A31" s="191" t="s">
        <v>22</v>
      </c>
      <c r="B31" s="119" t="s">
        <v>397</v>
      </c>
      <c r="C31" s="292">
        <f>+C32+C33+C34</f>
        <v>0</v>
      </c>
    </row>
    <row r="32" spans="1:3" s="431" customFormat="1" ht="12" customHeight="1">
      <c r="A32" s="425" t="s">
        <v>91</v>
      </c>
      <c r="B32" s="426" t="s">
        <v>282</v>
      </c>
      <c r="C32" s="75"/>
    </row>
    <row r="33" spans="1:3" s="431" customFormat="1" ht="12" customHeight="1">
      <c r="A33" s="425" t="s">
        <v>92</v>
      </c>
      <c r="B33" s="427" t="s">
        <v>283</v>
      </c>
      <c r="C33" s="293"/>
    </row>
    <row r="34" spans="1:3" s="431" customFormat="1" ht="12" customHeight="1" thickBot="1">
      <c r="A34" s="424" t="s">
        <v>93</v>
      </c>
      <c r="B34" s="136" t="s">
        <v>284</v>
      </c>
      <c r="C34" s="82"/>
    </row>
    <row r="35" spans="1:3" s="343" customFormat="1" ht="12" customHeight="1" thickBot="1">
      <c r="A35" s="191" t="s">
        <v>23</v>
      </c>
      <c r="B35" s="119" t="s">
        <v>367</v>
      </c>
      <c r="C35" s="318"/>
    </row>
    <row r="36" spans="1:3" s="343" customFormat="1" ht="12" customHeight="1" thickBot="1">
      <c r="A36" s="191" t="s">
        <v>24</v>
      </c>
      <c r="B36" s="119" t="s">
        <v>398</v>
      </c>
      <c r="C36" s="335"/>
    </row>
    <row r="37" spans="1:3" s="343" customFormat="1" ht="12" customHeight="1" thickBot="1">
      <c r="A37" s="183" t="s">
        <v>25</v>
      </c>
      <c r="B37" s="119" t="s">
        <v>399</v>
      </c>
      <c r="C37" s="336">
        <f>+C8+C20+C25+C26+C31+C35+C36</f>
        <v>500000</v>
      </c>
    </row>
    <row r="38" spans="1:3" s="343" customFormat="1" ht="12" customHeight="1" thickBot="1">
      <c r="A38" s="212" t="s">
        <v>26</v>
      </c>
      <c r="B38" s="119" t="s">
        <v>400</v>
      </c>
      <c r="C38" s="336">
        <f>+C39+C40+C41</f>
        <v>327105826</v>
      </c>
    </row>
    <row r="39" spans="1:3" s="343" customFormat="1" ht="12" customHeight="1">
      <c r="A39" s="425" t="s">
        <v>401</v>
      </c>
      <c r="B39" s="426" t="s">
        <v>229</v>
      </c>
      <c r="C39" s="75">
        <v>10157023</v>
      </c>
    </row>
    <row r="40" spans="1:3" s="343" customFormat="1" ht="12" customHeight="1">
      <c r="A40" s="425" t="s">
        <v>402</v>
      </c>
      <c r="B40" s="427" t="s">
        <v>2</v>
      </c>
      <c r="C40" s="293"/>
    </row>
    <row r="41" spans="1:3" s="431" customFormat="1" ht="12" customHeight="1" thickBot="1">
      <c r="A41" s="424" t="s">
        <v>403</v>
      </c>
      <c r="B41" s="136" t="s">
        <v>404</v>
      </c>
      <c r="C41" s="82">
        <v>316948803</v>
      </c>
    </row>
    <row r="42" spans="1:3" s="431" customFormat="1" ht="15" customHeight="1" thickBot="1">
      <c r="A42" s="212" t="s">
        <v>27</v>
      </c>
      <c r="B42" s="213" t="s">
        <v>405</v>
      </c>
      <c r="C42" s="339">
        <f>+C37+C38</f>
        <v>327605826</v>
      </c>
    </row>
    <row r="43" spans="1:3" s="431" customFormat="1" ht="15" customHeight="1">
      <c r="A43" s="214"/>
      <c r="B43" s="215"/>
      <c r="C43" s="337"/>
    </row>
    <row r="44" spans="1:3" ht="13.5" thickBot="1">
      <c r="A44" s="216"/>
      <c r="B44" s="217"/>
      <c r="C44" s="338"/>
    </row>
    <row r="45" spans="1:3" s="430" customFormat="1" ht="16.5" customHeight="1" thickBot="1">
      <c r="A45" s="218"/>
      <c r="B45" s="219" t="s">
        <v>57</v>
      </c>
      <c r="C45" s="339"/>
    </row>
    <row r="46" spans="1:3" s="432" customFormat="1" ht="12" customHeight="1" thickBot="1">
      <c r="A46" s="191" t="s">
        <v>18</v>
      </c>
      <c r="B46" s="119" t="s">
        <v>406</v>
      </c>
      <c r="C46" s="292">
        <f>SUM(C47:C51)</f>
        <v>312677527</v>
      </c>
    </row>
    <row r="47" spans="1:3" ht="12" customHeight="1">
      <c r="A47" s="424" t="s">
        <v>98</v>
      </c>
      <c r="B47" s="9" t="s">
        <v>49</v>
      </c>
      <c r="C47" s="75">
        <v>236091588</v>
      </c>
    </row>
    <row r="48" spans="1:3" ht="12" customHeight="1">
      <c r="A48" s="424" t="s">
        <v>99</v>
      </c>
      <c r="B48" s="8" t="s">
        <v>181</v>
      </c>
      <c r="C48" s="78">
        <v>38785124</v>
      </c>
    </row>
    <row r="49" spans="1:3" ht="12" customHeight="1">
      <c r="A49" s="424" t="s">
        <v>100</v>
      </c>
      <c r="B49" s="8" t="s">
        <v>138</v>
      </c>
      <c r="C49" s="78">
        <v>37800815</v>
      </c>
    </row>
    <row r="50" spans="1:3" ht="12" customHeight="1">
      <c r="A50" s="424" t="s">
        <v>101</v>
      </c>
      <c r="B50" s="8" t="s">
        <v>182</v>
      </c>
      <c r="C50" s="78"/>
    </row>
    <row r="51" spans="1:3" ht="12" customHeight="1" thickBot="1">
      <c r="A51" s="424" t="s">
        <v>146</v>
      </c>
      <c r="B51" s="8" t="s">
        <v>183</v>
      </c>
      <c r="C51" s="78"/>
    </row>
    <row r="52" spans="1:3" ht="12" customHeight="1" thickBot="1">
      <c r="A52" s="191" t="s">
        <v>19</v>
      </c>
      <c r="B52" s="119" t="s">
        <v>407</v>
      </c>
      <c r="C52" s="292">
        <f>SUM(C53:C55)</f>
        <v>14928299</v>
      </c>
    </row>
    <row r="53" spans="1:3" s="432" customFormat="1" ht="12" customHeight="1">
      <c r="A53" s="424" t="s">
        <v>104</v>
      </c>
      <c r="B53" s="9" t="s">
        <v>223</v>
      </c>
      <c r="C53" s="75">
        <v>14928299</v>
      </c>
    </row>
    <row r="54" spans="1:3" ht="12" customHeight="1">
      <c r="A54" s="424" t="s">
        <v>105</v>
      </c>
      <c r="B54" s="8" t="s">
        <v>185</v>
      </c>
      <c r="C54" s="78"/>
    </row>
    <row r="55" spans="1:3" ht="12" customHeight="1">
      <c r="A55" s="424" t="s">
        <v>106</v>
      </c>
      <c r="B55" s="8" t="s">
        <v>58</v>
      </c>
      <c r="C55" s="78"/>
    </row>
    <row r="56" spans="1:3" ht="12" customHeight="1" thickBot="1">
      <c r="A56" s="424" t="s">
        <v>107</v>
      </c>
      <c r="B56" s="8" t="s">
        <v>515</v>
      </c>
      <c r="C56" s="78"/>
    </row>
    <row r="57" spans="1:3" ht="12" customHeight="1" thickBot="1">
      <c r="A57" s="191" t="s">
        <v>20</v>
      </c>
      <c r="B57" s="119" t="s">
        <v>13</v>
      </c>
      <c r="C57" s="318"/>
    </row>
    <row r="58" spans="1:3" ht="15" customHeight="1" thickBot="1">
      <c r="A58" s="191" t="s">
        <v>21</v>
      </c>
      <c r="B58" s="220" t="s">
        <v>520</v>
      </c>
      <c r="C58" s="340">
        <f>+C46+C52+C57</f>
        <v>327605826</v>
      </c>
    </row>
    <row r="59" ht="13.5" thickBot="1">
      <c r="C59" s="594">
        <f>C42-C58</f>
        <v>0</v>
      </c>
    </row>
    <row r="60" spans="1:3" ht="15" customHeight="1" thickBot="1">
      <c r="A60" s="223" t="s">
        <v>510</v>
      </c>
      <c r="B60" s="224"/>
      <c r="C60" s="695">
        <v>33.5</v>
      </c>
    </row>
    <row r="61" spans="1:3" ht="14.25" customHeight="1" thickBot="1">
      <c r="A61" s="223" t="s">
        <v>202</v>
      </c>
      <c r="B61" s="224"/>
      <c r="C61" s="116">
        <v>0</v>
      </c>
    </row>
    <row r="62" spans="1:3" ht="12.75">
      <c r="A62" s="591"/>
      <c r="B62" s="592"/>
      <c r="C62" s="592"/>
    </row>
    <row r="63" spans="1:2" ht="12.75">
      <c r="A63" s="591"/>
      <c r="B63" s="592"/>
    </row>
    <row r="64" spans="1:3" ht="12.75">
      <c r="A64" s="591"/>
      <c r="B64" s="592"/>
      <c r="C64" s="592"/>
    </row>
    <row r="65" spans="1:3" ht="12.75">
      <c r="A65" s="591"/>
      <c r="B65" s="592"/>
      <c r="C65" s="592"/>
    </row>
    <row r="66" spans="1:3" ht="12.75">
      <c r="A66" s="591"/>
      <c r="B66" s="592"/>
      <c r="C66" s="592"/>
    </row>
    <row r="67" spans="1:3" ht="12.75">
      <c r="A67" s="591"/>
      <c r="B67" s="592"/>
      <c r="C67" s="592"/>
    </row>
    <row r="68" spans="1:3" ht="12.75">
      <c r="A68" s="591"/>
      <c r="B68" s="592"/>
      <c r="C68" s="592"/>
    </row>
    <row r="69" spans="1:3" ht="12.75">
      <c r="A69" s="591"/>
      <c r="B69" s="592"/>
      <c r="C69" s="592"/>
    </row>
    <row r="70" spans="1:3" ht="12.75">
      <c r="A70" s="591"/>
      <c r="B70" s="592"/>
      <c r="C70" s="592"/>
    </row>
    <row r="71" spans="1:3" ht="12.75">
      <c r="A71" s="591"/>
      <c r="B71" s="592"/>
      <c r="C71" s="592"/>
    </row>
    <row r="72" spans="1:3" ht="12.75">
      <c r="A72" s="591"/>
      <c r="B72" s="592"/>
      <c r="C72" s="592"/>
    </row>
    <row r="73" spans="1:3" ht="12.75">
      <c r="A73" s="591"/>
      <c r="B73" s="592"/>
      <c r="C73" s="592"/>
    </row>
    <row r="74" spans="1:3" ht="12.75">
      <c r="A74" s="591"/>
      <c r="B74" s="592"/>
      <c r="C74" s="592"/>
    </row>
    <row r="75" spans="1:3" ht="12.75">
      <c r="A75" s="591"/>
      <c r="B75" s="592"/>
      <c r="C75" s="592"/>
    </row>
    <row r="76" spans="1:3" ht="12.75">
      <c r="A76" s="591"/>
      <c r="B76" s="592"/>
      <c r="C76" s="592"/>
    </row>
    <row r="77" spans="1:3" ht="12.75">
      <c r="A77" s="591"/>
      <c r="B77" s="592"/>
      <c r="C77" s="592"/>
    </row>
    <row r="78" spans="1:3" ht="12.75">
      <c r="A78" s="591"/>
      <c r="B78" s="592"/>
      <c r="C78" s="592"/>
    </row>
    <row r="79" spans="1:3" ht="12.75">
      <c r="A79" s="591"/>
      <c r="B79" s="592"/>
      <c r="C79" s="592"/>
    </row>
    <row r="80" spans="1:3" ht="12.75">
      <c r="A80" s="591"/>
      <c r="B80" s="592"/>
      <c r="C80" s="592"/>
    </row>
    <row r="81" spans="1:3" ht="12.75">
      <c r="A81" s="591"/>
      <c r="B81" s="592"/>
      <c r="C81" s="592"/>
    </row>
    <row r="82" spans="1:3" ht="12.75">
      <c r="A82" s="591"/>
      <c r="B82" s="592"/>
      <c r="C82" s="592"/>
    </row>
    <row r="83" spans="1:3" ht="12.75">
      <c r="A83" s="591"/>
      <c r="B83" s="592"/>
      <c r="C83" s="592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C63"/>
  <sheetViews>
    <sheetView zoomScale="120" zoomScaleNormal="120" workbookViewId="0" topLeftCell="A27">
      <selection activeCell="G62" sqref="G62"/>
    </sheetView>
  </sheetViews>
  <sheetFormatPr defaultColWidth="9.00390625" defaultRowHeight="12.75"/>
  <cols>
    <col min="1" max="1" width="13.875" style="221" customWidth="1"/>
    <col min="2" max="2" width="79.125" style="222" customWidth="1"/>
    <col min="3" max="3" width="25.00390625" style="222" customWidth="1"/>
    <col min="4" max="16384" width="9.375" style="222" customWidth="1"/>
  </cols>
  <sheetData>
    <row r="1" spans="1:3" s="202" customFormat="1" ht="21" customHeight="1" thickBot="1">
      <c r="A1" s="201"/>
      <c r="B1" s="203"/>
      <c r="C1" s="561" t="str">
        <f>CONCATENATE("9.2.1. melléklet ",ALAPADATOK!A7," ",ALAPADATOK!B7," ",ALAPADATOK!C7," ",ALAPADATOK!D7," ",ALAPADATOK!E7," ",ALAPADATOK!F7," ",ALAPADATOK!G7," ",ALAPADATOK!H7)</f>
        <v>9.2.1. melléklet a … / 2021 ( … ) önkormányzati rendelethez</v>
      </c>
    </row>
    <row r="2" spans="1:3" s="428" customFormat="1" ht="36">
      <c r="A2" s="381" t="s">
        <v>200</v>
      </c>
      <c r="B2" s="559" t="str">
        <f>CONCATENATE(ALAPADATOK!A11)</f>
        <v>Solymári Polgármesteri Hivatal</v>
      </c>
      <c r="C2" s="341" t="s">
        <v>59</v>
      </c>
    </row>
    <row r="3" spans="1:3" s="428" customFormat="1" ht="24.75" thickBot="1">
      <c r="A3" s="422" t="s">
        <v>199</v>
      </c>
      <c r="B3" s="560" t="s">
        <v>408</v>
      </c>
      <c r="C3" s="342" t="s">
        <v>59</v>
      </c>
    </row>
    <row r="4" spans="1:3" s="429" customFormat="1" ht="15.75" customHeight="1" thickBot="1">
      <c r="A4" s="204"/>
      <c r="B4" s="204"/>
      <c r="C4" s="205" t="str">
        <f>'KV_9.2.sz.mell'!C4</f>
        <v>Forintban!</v>
      </c>
    </row>
    <row r="5" spans="1:3" ht="13.5" thickBot="1">
      <c r="A5" s="382" t="s">
        <v>201</v>
      </c>
      <c r="B5" s="206" t="s">
        <v>553</v>
      </c>
      <c r="C5" s="207" t="s">
        <v>55</v>
      </c>
    </row>
    <row r="6" spans="1:3" s="430" customFormat="1" ht="12.75" customHeight="1" thickBot="1">
      <c r="A6" s="183"/>
      <c r="B6" s="184" t="s">
        <v>484</v>
      </c>
      <c r="C6" s="185" t="s">
        <v>485</v>
      </c>
    </row>
    <row r="7" spans="1:3" s="430" customFormat="1" ht="15.75" customHeight="1" thickBot="1">
      <c r="A7" s="208"/>
      <c r="B7" s="209" t="s">
        <v>56</v>
      </c>
      <c r="C7" s="210"/>
    </row>
    <row r="8" spans="1:3" s="343" customFormat="1" ht="12" customHeight="1" thickBot="1">
      <c r="A8" s="183" t="s">
        <v>18</v>
      </c>
      <c r="B8" s="211" t="s">
        <v>511</v>
      </c>
      <c r="C8" s="292">
        <f>SUM(C9:C19)</f>
        <v>500000</v>
      </c>
    </row>
    <row r="9" spans="1:3" s="343" customFormat="1" ht="12" customHeight="1">
      <c r="A9" s="423" t="s">
        <v>98</v>
      </c>
      <c r="B9" s="10" t="s">
        <v>268</v>
      </c>
      <c r="C9" s="333"/>
    </row>
    <row r="10" spans="1:3" s="343" customFormat="1" ht="12" customHeight="1">
      <c r="A10" s="424" t="s">
        <v>99</v>
      </c>
      <c r="B10" s="8" t="s">
        <v>269</v>
      </c>
      <c r="C10" s="290">
        <v>500000</v>
      </c>
    </row>
    <row r="11" spans="1:3" s="343" customFormat="1" ht="12" customHeight="1">
      <c r="A11" s="424" t="s">
        <v>100</v>
      </c>
      <c r="B11" s="8" t="s">
        <v>270</v>
      </c>
      <c r="C11" s="290"/>
    </row>
    <row r="12" spans="1:3" s="343" customFormat="1" ht="12" customHeight="1">
      <c r="A12" s="424" t="s">
        <v>101</v>
      </c>
      <c r="B12" s="8" t="s">
        <v>271</v>
      </c>
      <c r="C12" s="290"/>
    </row>
    <row r="13" spans="1:3" s="343" customFormat="1" ht="12" customHeight="1">
      <c r="A13" s="424" t="s">
        <v>146</v>
      </c>
      <c r="B13" s="8" t="s">
        <v>272</v>
      </c>
      <c r="C13" s="290"/>
    </row>
    <row r="14" spans="1:3" s="343" customFormat="1" ht="12" customHeight="1">
      <c r="A14" s="424" t="s">
        <v>102</v>
      </c>
      <c r="B14" s="8" t="s">
        <v>390</v>
      </c>
      <c r="C14" s="290"/>
    </row>
    <row r="15" spans="1:3" s="343" customFormat="1" ht="12" customHeight="1">
      <c r="A15" s="424" t="s">
        <v>103</v>
      </c>
      <c r="B15" s="7" t="s">
        <v>391</v>
      </c>
      <c r="C15" s="290"/>
    </row>
    <row r="16" spans="1:3" s="343" customFormat="1" ht="12" customHeight="1">
      <c r="A16" s="424" t="s">
        <v>113</v>
      </c>
      <c r="B16" s="8" t="s">
        <v>275</v>
      </c>
      <c r="C16" s="334"/>
    </row>
    <row r="17" spans="1:3" s="431" customFormat="1" ht="12" customHeight="1">
      <c r="A17" s="424" t="s">
        <v>114</v>
      </c>
      <c r="B17" s="8" t="s">
        <v>276</v>
      </c>
      <c r="C17" s="290"/>
    </row>
    <row r="18" spans="1:3" s="431" customFormat="1" ht="12" customHeight="1">
      <c r="A18" s="424" t="s">
        <v>115</v>
      </c>
      <c r="B18" s="8" t="s">
        <v>427</v>
      </c>
      <c r="C18" s="291"/>
    </row>
    <row r="19" spans="1:3" s="431" customFormat="1" ht="12" customHeight="1" thickBot="1">
      <c r="A19" s="424" t="s">
        <v>116</v>
      </c>
      <c r="B19" s="7" t="s">
        <v>277</v>
      </c>
      <c r="C19" s="291"/>
    </row>
    <row r="20" spans="1:3" s="343" customFormat="1" ht="12" customHeight="1" thickBot="1">
      <c r="A20" s="183" t="s">
        <v>19</v>
      </c>
      <c r="B20" s="211" t="s">
        <v>392</v>
      </c>
      <c r="C20" s="292">
        <f>SUM(C21:C23)</f>
        <v>0</v>
      </c>
    </row>
    <row r="21" spans="1:3" s="431" customFormat="1" ht="12" customHeight="1">
      <c r="A21" s="424" t="s">
        <v>104</v>
      </c>
      <c r="B21" s="9" t="s">
        <v>251</v>
      </c>
      <c r="C21" s="290"/>
    </row>
    <row r="22" spans="1:3" s="431" customFormat="1" ht="12" customHeight="1">
      <c r="A22" s="424" t="s">
        <v>105</v>
      </c>
      <c r="B22" s="8" t="s">
        <v>393</v>
      </c>
      <c r="C22" s="290"/>
    </row>
    <row r="23" spans="1:3" s="431" customFormat="1" ht="12" customHeight="1">
      <c r="A23" s="424" t="s">
        <v>106</v>
      </c>
      <c r="B23" s="8" t="s">
        <v>394</v>
      </c>
      <c r="C23" s="290"/>
    </row>
    <row r="24" spans="1:3" s="431" customFormat="1" ht="12" customHeight="1" thickBot="1">
      <c r="A24" s="424" t="s">
        <v>107</v>
      </c>
      <c r="B24" s="8" t="s">
        <v>512</v>
      </c>
      <c r="C24" s="290"/>
    </row>
    <row r="25" spans="1:3" s="431" customFormat="1" ht="12" customHeight="1" thickBot="1">
      <c r="A25" s="191" t="s">
        <v>20</v>
      </c>
      <c r="B25" s="119" t="s">
        <v>172</v>
      </c>
      <c r="C25" s="318"/>
    </row>
    <row r="26" spans="1:3" s="431" customFormat="1" ht="12" customHeight="1" thickBot="1">
      <c r="A26" s="191" t="s">
        <v>21</v>
      </c>
      <c r="B26" s="119" t="s">
        <v>513</v>
      </c>
      <c r="C26" s="292">
        <f>+C27+C28+C29</f>
        <v>0</v>
      </c>
    </row>
    <row r="27" spans="1:3" s="431" customFormat="1" ht="12" customHeight="1">
      <c r="A27" s="425" t="s">
        <v>261</v>
      </c>
      <c r="B27" s="426" t="s">
        <v>256</v>
      </c>
      <c r="C27" s="75"/>
    </row>
    <row r="28" spans="1:3" s="431" customFormat="1" ht="12" customHeight="1">
      <c r="A28" s="425" t="s">
        <v>262</v>
      </c>
      <c r="B28" s="426" t="s">
        <v>393</v>
      </c>
      <c r="C28" s="290"/>
    </row>
    <row r="29" spans="1:3" s="431" customFormat="1" ht="12" customHeight="1">
      <c r="A29" s="425" t="s">
        <v>263</v>
      </c>
      <c r="B29" s="427" t="s">
        <v>396</v>
      </c>
      <c r="C29" s="290"/>
    </row>
    <row r="30" spans="1:3" s="431" customFormat="1" ht="12" customHeight="1" thickBot="1">
      <c r="A30" s="424" t="s">
        <v>264</v>
      </c>
      <c r="B30" s="136" t="s">
        <v>514</v>
      </c>
      <c r="C30" s="82"/>
    </row>
    <row r="31" spans="1:3" s="431" customFormat="1" ht="12" customHeight="1" thickBot="1">
      <c r="A31" s="191" t="s">
        <v>22</v>
      </c>
      <c r="B31" s="119" t="s">
        <v>397</v>
      </c>
      <c r="C31" s="292">
        <f>+C32+C33+C34</f>
        <v>0</v>
      </c>
    </row>
    <row r="32" spans="1:3" s="431" customFormat="1" ht="12" customHeight="1">
      <c r="A32" s="425" t="s">
        <v>91</v>
      </c>
      <c r="B32" s="426" t="s">
        <v>282</v>
      </c>
      <c r="C32" s="75"/>
    </row>
    <row r="33" spans="1:3" s="431" customFormat="1" ht="12" customHeight="1">
      <c r="A33" s="425" t="s">
        <v>92</v>
      </c>
      <c r="B33" s="427" t="s">
        <v>283</v>
      </c>
      <c r="C33" s="293"/>
    </row>
    <row r="34" spans="1:3" s="431" customFormat="1" ht="12" customHeight="1" thickBot="1">
      <c r="A34" s="424" t="s">
        <v>93</v>
      </c>
      <c r="B34" s="136" t="s">
        <v>284</v>
      </c>
      <c r="C34" s="82"/>
    </row>
    <row r="35" spans="1:3" s="343" customFormat="1" ht="12" customHeight="1" thickBot="1">
      <c r="A35" s="191" t="s">
        <v>23</v>
      </c>
      <c r="B35" s="119" t="s">
        <v>367</v>
      </c>
      <c r="C35" s="318"/>
    </row>
    <row r="36" spans="1:3" s="343" customFormat="1" ht="12" customHeight="1" thickBot="1">
      <c r="A36" s="191" t="s">
        <v>24</v>
      </c>
      <c r="B36" s="119" t="s">
        <v>398</v>
      </c>
      <c r="C36" s="335"/>
    </row>
    <row r="37" spans="1:3" s="343" customFormat="1" ht="12" customHeight="1" thickBot="1">
      <c r="A37" s="183" t="s">
        <v>25</v>
      </c>
      <c r="B37" s="119" t="s">
        <v>399</v>
      </c>
      <c r="C37" s="336">
        <f>+C8+C20+C25+C26+C31+C35+C36</f>
        <v>500000</v>
      </c>
    </row>
    <row r="38" spans="1:3" s="343" customFormat="1" ht="12" customHeight="1" thickBot="1">
      <c r="A38" s="212" t="s">
        <v>26</v>
      </c>
      <c r="B38" s="119" t="s">
        <v>400</v>
      </c>
      <c r="C38" s="336">
        <f>+C39+C40+C41</f>
        <v>323925027</v>
      </c>
    </row>
    <row r="39" spans="1:3" s="343" customFormat="1" ht="12" customHeight="1">
      <c r="A39" s="425" t="s">
        <v>401</v>
      </c>
      <c r="B39" s="426" t="s">
        <v>229</v>
      </c>
      <c r="C39" s="75">
        <v>6976224</v>
      </c>
    </row>
    <row r="40" spans="1:3" s="343" customFormat="1" ht="12" customHeight="1">
      <c r="A40" s="425" t="s">
        <v>402</v>
      </c>
      <c r="B40" s="427" t="s">
        <v>2</v>
      </c>
      <c r="C40" s="293"/>
    </row>
    <row r="41" spans="1:3" s="431" customFormat="1" ht="12" customHeight="1" thickBot="1">
      <c r="A41" s="424" t="s">
        <v>403</v>
      </c>
      <c r="B41" s="136" t="s">
        <v>404</v>
      </c>
      <c r="C41" s="82">
        <v>316948803</v>
      </c>
    </row>
    <row r="42" spans="1:3" s="431" customFormat="1" ht="15" customHeight="1" thickBot="1">
      <c r="A42" s="212" t="s">
        <v>27</v>
      </c>
      <c r="B42" s="213" t="s">
        <v>405</v>
      </c>
      <c r="C42" s="339">
        <f>+C37+C38</f>
        <v>324425027</v>
      </c>
    </row>
    <row r="43" spans="1:3" s="431" customFormat="1" ht="15" customHeight="1">
      <c r="A43" s="214"/>
      <c r="B43" s="215"/>
      <c r="C43" s="337"/>
    </row>
    <row r="44" spans="1:3" ht="13.5" thickBot="1">
      <c r="A44" s="216"/>
      <c r="B44" s="217"/>
      <c r="C44" s="338"/>
    </row>
    <row r="45" spans="1:3" s="430" customFormat="1" ht="16.5" customHeight="1" thickBot="1">
      <c r="A45" s="218"/>
      <c r="B45" s="219" t="s">
        <v>57</v>
      </c>
      <c r="C45" s="339"/>
    </row>
    <row r="46" spans="1:3" s="432" customFormat="1" ht="12" customHeight="1" thickBot="1">
      <c r="A46" s="191" t="s">
        <v>18</v>
      </c>
      <c r="B46" s="119" t="s">
        <v>406</v>
      </c>
      <c r="C46" s="292">
        <f>SUM(C47:C51)</f>
        <v>311407527</v>
      </c>
    </row>
    <row r="47" spans="1:3" ht="12" customHeight="1">
      <c r="A47" s="424" t="s">
        <v>98</v>
      </c>
      <c r="B47" s="9" t="s">
        <v>49</v>
      </c>
      <c r="C47" s="75">
        <v>235091588</v>
      </c>
    </row>
    <row r="48" spans="1:3" ht="12" customHeight="1">
      <c r="A48" s="424" t="s">
        <v>99</v>
      </c>
      <c r="B48" s="8" t="s">
        <v>181</v>
      </c>
      <c r="C48" s="78">
        <v>38785124</v>
      </c>
    </row>
    <row r="49" spans="1:3" ht="12" customHeight="1">
      <c r="A49" s="424" t="s">
        <v>100</v>
      </c>
      <c r="B49" s="8" t="s">
        <v>138</v>
      </c>
      <c r="C49" s="78">
        <v>37530815</v>
      </c>
    </row>
    <row r="50" spans="1:3" ht="12" customHeight="1">
      <c r="A50" s="424" t="s">
        <v>101</v>
      </c>
      <c r="B50" s="8" t="s">
        <v>182</v>
      </c>
      <c r="C50" s="78"/>
    </row>
    <row r="51" spans="1:3" ht="12" customHeight="1" thickBot="1">
      <c r="A51" s="424" t="s">
        <v>146</v>
      </c>
      <c r="B51" s="8" t="s">
        <v>183</v>
      </c>
      <c r="C51" s="78"/>
    </row>
    <row r="52" spans="1:3" ht="12" customHeight="1" thickBot="1">
      <c r="A52" s="191" t="s">
        <v>19</v>
      </c>
      <c r="B52" s="119" t="s">
        <v>407</v>
      </c>
      <c r="C52" s="292">
        <f>SUM(C53:C55)</f>
        <v>13017500</v>
      </c>
    </row>
    <row r="53" spans="1:3" s="432" customFormat="1" ht="12" customHeight="1">
      <c r="A53" s="424" t="s">
        <v>104</v>
      </c>
      <c r="B53" s="9" t="s">
        <v>223</v>
      </c>
      <c r="C53" s="75">
        <v>13017500</v>
      </c>
    </row>
    <row r="54" spans="1:3" ht="12" customHeight="1">
      <c r="A54" s="424" t="s">
        <v>105</v>
      </c>
      <c r="B54" s="8" t="s">
        <v>185</v>
      </c>
      <c r="C54" s="78"/>
    </row>
    <row r="55" spans="1:3" ht="12" customHeight="1">
      <c r="A55" s="424" t="s">
        <v>106</v>
      </c>
      <c r="B55" s="8" t="s">
        <v>58</v>
      </c>
      <c r="C55" s="78"/>
    </row>
    <row r="56" spans="1:3" ht="12" customHeight="1" thickBot="1">
      <c r="A56" s="424" t="s">
        <v>107</v>
      </c>
      <c r="B56" s="8" t="s">
        <v>515</v>
      </c>
      <c r="C56" s="78"/>
    </row>
    <row r="57" spans="1:3" ht="15" customHeight="1" thickBot="1">
      <c r="A57" s="191" t="s">
        <v>20</v>
      </c>
      <c r="B57" s="119" t="s">
        <v>13</v>
      </c>
      <c r="C57" s="318"/>
    </row>
    <row r="58" spans="1:3" ht="13.5" thickBot="1">
      <c r="A58" s="191" t="s">
        <v>21</v>
      </c>
      <c r="B58" s="220" t="s">
        <v>520</v>
      </c>
      <c r="C58" s="340">
        <f>+C46+C52+C57</f>
        <v>324425027</v>
      </c>
    </row>
    <row r="59" ht="15" customHeight="1" thickBot="1">
      <c r="C59" s="594">
        <f>C42-C58</f>
        <v>0</v>
      </c>
    </row>
    <row r="60" spans="1:3" ht="14.25" customHeight="1" thickBot="1">
      <c r="A60" s="223" t="s">
        <v>510</v>
      </c>
      <c r="B60" s="224"/>
      <c r="C60" s="695">
        <v>33.5</v>
      </c>
    </row>
    <row r="61" spans="1:3" ht="13.5" thickBot="1">
      <c r="A61" s="223" t="s">
        <v>202</v>
      </c>
      <c r="B61" s="224"/>
      <c r="C61" s="116">
        <v>0</v>
      </c>
    </row>
    <row r="63" ht="12.75">
      <c r="C63" s="5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C61"/>
  <sheetViews>
    <sheetView zoomScale="120" zoomScaleNormal="120" workbookViewId="0" topLeftCell="A24">
      <selection activeCell="C59" sqref="C59"/>
    </sheetView>
  </sheetViews>
  <sheetFormatPr defaultColWidth="9.00390625" defaultRowHeight="12.75"/>
  <cols>
    <col min="1" max="1" width="13.875" style="221" customWidth="1"/>
    <col min="2" max="2" width="79.125" style="222" customWidth="1"/>
    <col min="3" max="3" width="25.00390625" style="222" customWidth="1"/>
    <col min="4" max="16384" width="9.375" style="222" customWidth="1"/>
  </cols>
  <sheetData>
    <row r="1" spans="1:3" s="202" customFormat="1" ht="21" customHeight="1" thickBot="1">
      <c r="A1" s="201"/>
      <c r="B1" s="203"/>
      <c r="C1" s="561" t="str">
        <f>CONCATENATE("9.2.2. melléklet ",ALAPADATOK!A7," ",ALAPADATOK!B7," ",ALAPADATOK!C7," ",ALAPADATOK!D7," ",ALAPADATOK!E7," ",ALAPADATOK!F7," ",ALAPADATOK!G7," ",ALAPADATOK!H7)</f>
        <v>9.2.2. melléklet a … / 2021 ( … ) önkormányzati rendelethez</v>
      </c>
    </row>
    <row r="2" spans="1:3" s="428" customFormat="1" ht="36">
      <c r="A2" s="381" t="s">
        <v>200</v>
      </c>
      <c r="B2" s="559" t="str">
        <f>CONCATENATE(ALAPADATOK!A11)</f>
        <v>Solymári Polgármesteri Hivatal</v>
      </c>
      <c r="C2" s="341" t="s">
        <v>59</v>
      </c>
    </row>
    <row r="3" spans="1:3" s="428" customFormat="1" ht="24.75" thickBot="1">
      <c r="A3" s="422" t="s">
        <v>199</v>
      </c>
      <c r="B3" s="560" t="s">
        <v>409</v>
      </c>
      <c r="C3" s="342" t="s">
        <v>60</v>
      </c>
    </row>
    <row r="4" spans="1:3" s="429" customFormat="1" ht="15.75" customHeight="1" thickBot="1">
      <c r="A4" s="204"/>
      <c r="B4" s="204"/>
      <c r="C4" s="205" t="str">
        <f>'KV_9.2.1.sz.mell'!C4</f>
        <v>Forintban!</v>
      </c>
    </row>
    <row r="5" spans="1:3" ht="13.5" thickBot="1">
      <c r="A5" s="382" t="s">
        <v>201</v>
      </c>
      <c r="B5" s="206" t="s">
        <v>553</v>
      </c>
      <c r="C5" s="207" t="s">
        <v>55</v>
      </c>
    </row>
    <row r="6" spans="1:3" s="430" customFormat="1" ht="12.75" customHeight="1" thickBot="1">
      <c r="A6" s="183"/>
      <c r="B6" s="184" t="s">
        <v>484</v>
      </c>
      <c r="C6" s="185" t="s">
        <v>485</v>
      </c>
    </row>
    <row r="7" spans="1:3" s="430" customFormat="1" ht="15.75" customHeight="1" thickBot="1">
      <c r="A7" s="208"/>
      <c r="B7" s="209" t="s">
        <v>56</v>
      </c>
      <c r="C7" s="210"/>
    </row>
    <row r="8" spans="1:3" s="343" customFormat="1" ht="12" customHeight="1" thickBot="1">
      <c r="A8" s="183" t="s">
        <v>18</v>
      </c>
      <c r="B8" s="211" t="s">
        <v>511</v>
      </c>
      <c r="C8" s="292">
        <f>SUM(C9:C19)</f>
        <v>0</v>
      </c>
    </row>
    <row r="9" spans="1:3" s="343" customFormat="1" ht="12" customHeight="1">
      <c r="A9" s="423" t="s">
        <v>98</v>
      </c>
      <c r="B9" s="10" t="s">
        <v>268</v>
      </c>
      <c r="C9" s="333"/>
    </row>
    <row r="10" spans="1:3" s="343" customFormat="1" ht="12" customHeight="1">
      <c r="A10" s="424" t="s">
        <v>99</v>
      </c>
      <c r="B10" s="8" t="s">
        <v>269</v>
      </c>
      <c r="C10" s="290"/>
    </row>
    <row r="11" spans="1:3" s="343" customFormat="1" ht="12" customHeight="1">
      <c r="A11" s="424" t="s">
        <v>100</v>
      </c>
      <c r="B11" s="8" t="s">
        <v>270</v>
      </c>
      <c r="C11" s="290"/>
    </row>
    <row r="12" spans="1:3" s="343" customFormat="1" ht="12" customHeight="1">
      <c r="A12" s="424" t="s">
        <v>101</v>
      </c>
      <c r="B12" s="8" t="s">
        <v>271</v>
      </c>
      <c r="C12" s="290"/>
    </row>
    <row r="13" spans="1:3" s="343" customFormat="1" ht="12" customHeight="1">
      <c r="A13" s="424" t="s">
        <v>146</v>
      </c>
      <c r="B13" s="8" t="s">
        <v>272</v>
      </c>
      <c r="C13" s="290"/>
    </row>
    <row r="14" spans="1:3" s="343" customFormat="1" ht="12" customHeight="1">
      <c r="A14" s="424" t="s">
        <v>102</v>
      </c>
      <c r="B14" s="8" t="s">
        <v>390</v>
      </c>
      <c r="C14" s="290"/>
    </row>
    <row r="15" spans="1:3" s="343" customFormat="1" ht="12" customHeight="1">
      <c r="A15" s="424" t="s">
        <v>103</v>
      </c>
      <c r="B15" s="7" t="s">
        <v>391</v>
      </c>
      <c r="C15" s="290"/>
    </row>
    <row r="16" spans="1:3" s="343" customFormat="1" ht="12" customHeight="1">
      <c r="A16" s="424" t="s">
        <v>113</v>
      </c>
      <c r="B16" s="8" t="s">
        <v>275</v>
      </c>
      <c r="C16" s="334"/>
    </row>
    <row r="17" spans="1:3" s="431" customFormat="1" ht="12" customHeight="1">
      <c r="A17" s="424" t="s">
        <v>114</v>
      </c>
      <c r="B17" s="8" t="s">
        <v>276</v>
      </c>
      <c r="C17" s="290"/>
    </row>
    <row r="18" spans="1:3" s="431" customFormat="1" ht="12" customHeight="1">
      <c r="A18" s="424" t="s">
        <v>115</v>
      </c>
      <c r="B18" s="8" t="s">
        <v>427</v>
      </c>
      <c r="C18" s="291"/>
    </row>
    <row r="19" spans="1:3" s="431" customFormat="1" ht="12" customHeight="1" thickBot="1">
      <c r="A19" s="424" t="s">
        <v>116</v>
      </c>
      <c r="B19" s="7" t="s">
        <v>277</v>
      </c>
      <c r="C19" s="291"/>
    </row>
    <row r="20" spans="1:3" s="343" customFormat="1" ht="12" customHeight="1" thickBot="1">
      <c r="A20" s="183" t="s">
        <v>19</v>
      </c>
      <c r="B20" s="211" t="s">
        <v>392</v>
      </c>
      <c r="C20" s="292">
        <f>SUM(C21:C23)</f>
        <v>0</v>
      </c>
    </row>
    <row r="21" spans="1:3" s="431" customFormat="1" ht="12" customHeight="1">
      <c r="A21" s="424" t="s">
        <v>104</v>
      </c>
      <c r="B21" s="9" t="s">
        <v>251</v>
      </c>
      <c r="C21" s="290"/>
    </row>
    <row r="22" spans="1:3" s="431" customFormat="1" ht="12" customHeight="1">
      <c r="A22" s="424" t="s">
        <v>105</v>
      </c>
      <c r="B22" s="8" t="s">
        <v>393</v>
      </c>
      <c r="C22" s="290"/>
    </row>
    <row r="23" spans="1:3" s="431" customFormat="1" ht="12" customHeight="1">
      <c r="A23" s="424" t="s">
        <v>106</v>
      </c>
      <c r="B23" s="8" t="s">
        <v>394</v>
      </c>
      <c r="C23" s="290"/>
    </row>
    <row r="24" spans="1:3" s="431" customFormat="1" ht="12" customHeight="1" thickBot="1">
      <c r="A24" s="424" t="s">
        <v>107</v>
      </c>
      <c r="B24" s="8" t="s">
        <v>512</v>
      </c>
      <c r="C24" s="290"/>
    </row>
    <row r="25" spans="1:3" s="431" customFormat="1" ht="12" customHeight="1" thickBot="1">
      <c r="A25" s="191" t="s">
        <v>20</v>
      </c>
      <c r="B25" s="119" t="s">
        <v>172</v>
      </c>
      <c r="C25" s="318"/>
    </row>
    <row r="26" spans="1:3" s="431" customFormat="1" ht="12" customHeight="1" thickBot="1">
      <c r="A26" s="191" t="s">
        <v>21</v>
      </c>
      <c r="B26" s="119" t="s">
        <v>513</v>
      </c>
      <c r="C26" s="292">
        <f>+C27+C28+C29</f>
        <v>0</v>
      </c>
    </row>
    <row r="27" spans="1:3" s="431" customFormat="1" ht="12" customHeight="1">
      <c r="A27" s="425" t="s">
        <v>261</v>
      </c>
      <c r="B27" s="426" t="s">
        <v>256</v>
      </c>
      <c r="C27" s="75"/>
    </row>
    <row r="28" spans="1:3" s="431" customFormat="1" ht="12" customHeight="1">
      <c r="A28" s="425" t="s">
        <v>262</v>
      </c>
      <c r="B28" s="426" t="s">
        <v>393</v>
      </c>
      <c r="C28" s="290"/>
    </row>
    <row r="29" spans="1:3" s="431" customFormat="1" ht="12" customHeight="1">
      <c r="A29" s="425" t="s">
        <v>263</v>
      </c>
      <c r="B29" s="427" t="s">
        <v>396</v>
      </c>
      <c r="C29" s="290"/>
    </row>
    <row r="30" spans="1:3" s="431" customFormat="1" ht="12" customHeight="1" thickBot="1">
      <c r="A30" s="424" t="s">
        <v>264</v>
      </c>
      <c r="B30" s="136" t="s">
        <v>514</v>
      </c>
      <c r="C30" s="82"/>
    </row>
    <row r="31" spans="1:3" s="431" customFormat="1" ht="12" customHeight="1" thickBot="1">
      <c r="A31" s="191" t="s">
        <v>22</v>
      </c>
      <c r="B31" s="119" t="s">
        <v>397</v>
      </c>
      <c r="C31" s="292">
        <f>+C32+C33+C34</f>
        <v>0</v>
      </c>
    </row>
    <row r="32" spans="1:3" s="431" customFormat="1" ht="12" customHeight="1">
      <c r="A32" s="425" t="s">
        <v>91</v>
      </c>
      <c r="B32" s="426" t="s">
        <v>282</v>
      </c>
      <c r="C32" s="75"/>
    </row>
    <row r="33" spans="1:3" s="431" customFormat="1" ht="12" customHeight="1">
      <c r="A33" s="425" t="s">
        <v>92</v>
      </c>
      <c r="B33" s="427" t="s">
        <v>283</v>
      </c>
      <c r="C33" s="293"/>
    </row>
    <row r="34" spans="1:3" s="431" customFormat="1" ht="12" customHeight="1" thickBot="1">
      <c r="A34" s="424" t="s">
        <v>93</v>
      </c>
      <c r="B34" s="136" t="s">
        <v>284</v>
      </c>
      <c r="C34" s="82"/>
    </row>
    <row r="35" spans="1:3" s="343" customFormat="1" ht="12" customHeight="1" thickBot="1">
      <c r="A35" s="191" t="s">
        <v>23</v>
      </c>
      <c r="B35" s="119" t="s">
        <v>367</v>
      </c>
      <c r="C35" s="318"/>
    </row>
    <row r="36" spans="1:3" s="343" customFormat="1" ht="12" customHeight="1" thickBot="1">
      <c r="A36" s="191" t="s">
        <v>24</v>
      </c>
      <c r="B36" s="119" t="s">
        <v>398</v>
      </c>
      <c r="C36" s="335"/>
    </row>
    <row r="37" spans="1:3" s="343" customFormat="1" ht="12" customHeight="1" thickBot="1">
      <c r="A37" s="183" t="s">
        <v>25</v>
      </c>
      <c r="B37" s="119" t="s">
        <v>399</v>
      </c>
      <c r="C37" s="336">
        <f>+C8+C20+C25+C26+C31+C35+C36</f>
        <v>0</v>
      </c>
    </row>
    <row r="38" spans="1:3" s="343" customFormat="1" ht="12" customHeight="1" thickBot="1">
      <c r="A38" s="212" t="s">
        <v>26</v>
      </c>
      <c r="B38" s="119" t="s">
        <v>400</v>
      </c>
      <c r="C38" s="336">
        <f>+C39+C40+C41</f>
        <v>3180799</v>
      </c>
    </row>
    <row r="39" spans="1:3" s="343" customFormat="1" ht="12" customHeight="1">
      <c r="A39" s="425" t="s">
        <v>401</v>
      </c>
      <c r="B39" s="426" t="s">
        <v>229</v>
      </c>
      <c r="C39" s="75">
        <v>3180799</v>
      </c>
    </row>
    <row r="40" spans="1:3" s="343" customFormat="1" ht="12" customHeight="1">
      <c r="A40" s="425" t="s">
        <v>402</v>
      </c>
      <c r="B40" s="427" t="s">
        <v>2</v>
      </c>
      <c r="C40" s="293"/>
    </row>
    <row r="41" spans="1:3" s="431" customFormat="1" ht="12" customHeight="1" thickBot="1">
      <c r="A41" s="424" t="s">
        <v>403</v>
      </c>
      <c r="B41" s="136" t="s">
        <v>404</v>
      </c>
      <c r="C41" s="82"/>
    </row>
    <row r="42" spans="1:3" s="431" customFormat="1" ht="15" customHeight="1" thickBot="1">
      <c r="A42" s="212" t="s">
        <v>27</v>
      </c>
      <c r="B42" s="213" t="s">
        <v>405</v>
      </c>
      <c r="C42" s="339">
        <f>+C37+C38</f>
        <v>3180799</v>
      </c>
    </row>
    <row r="43" spans="1:3" s="431" customFormat="1" ht="15" customHeight="1">
      <c r="A43" s="214"/>
      <c r="B43" s="215"/>
      <c r="C43" s="337"/>
    </row>
    <row r="44" spans="1:3" ht="13.5" thickBot="1">
      <c r="A44" s="216"/>
      <c r="B44" s="217"/>
      <c r="C44" s="338"/>
    </row>
    <row r="45" spans="1:3" s="430" customFormat="1" ht="16.5" customHeight="1" thickBot="1">
      <c r="A45" s="218"/>
      <c r="B45" s="219" t="s">
        <v>57</v>
      </c>
      <c r="C45" s="339"/>
    </row>
    <row r="46" spans="1:3" s="432" customFormat="1" ht="12" customHeight="1" thickBot="1">
      <c r="A46" s="191" t="s">
        <v>18</v>
      </c>
      <c r="B46" s="119" t="s">
        <v>406</v>
      </c>
      <c r="C46" s="292">
        <f>SUM(C47:C51)</f>
        <v>1270000</v>
      </c>
    </row>
    <row r="47" spans="1:3" ht="12" customHeight="1">
      <c r="A47" s="424" t="s">
        <v>98</v>
      </c>
      <c r="B47" s="9" t="s">
        <v>49</v>
      </c>
      <c r="C47" s="75">
        <v>1000000</v>
      </c>
    </row>
    <row r="48" spans="1:3" ht="12" customHeight="1">
      <c r="A48" s="424" t="s">
        <v>99</v>
      </c>
      <c r="B48" s="8" t="s">
        <v>181</v>
      </c>
      <c r="C48" s="78"/>
    </row>
    <row r="49" spans="1:3" ht="12" customHeight="1">
      <c r="A49" s="424" t="s">
        <v>100</v>
      </c>
      <c r="B49" s="8" t="s">
        <v>138</v>
      </c>
      <c r="C49" s="78">
        <v>270000</v>
      </c>
    </row>
    <row r="50" spans="1:3" ht="12" customHeight="1">
      <c r="A50" s="424" t="s">
        <v>101</v>
      </c>
      <c r="B50" s="8" t="s">
        <v>182</v>
      </c>
      <c r="C50" s="78"/>
    </row>
    <row r="51" spans="1:3" ht="12" customHeight="1" thickBot="1">
      <c r="A51" s="424" t="s">
        <v>146</v>
      </c>
      <c r="B51" s="8" t="s">
        <v>183</v>
      </c>
      <c r="C51" s="78"/>
    </row>
    <row r="52" spans="1:3" ht="12" customHeight="1" thickBot="1">
      <c r="A52" s="191" t="s">
        <v>19</v>
      </c>
      <c r="B52" s="119" t="s">
        <v>407</v>
      </c>
      <c r="C52" s="292">
        <f>SUM(C53:C55)</f>
        <v>1910799</v>
      </c>
    </row>
    <row r="53" spans="1:3" s="432" customFormat="1" ht="12" customHeight="1">
      <c r="A53" s="424" t="s">
        <v>104</v>
      </c>
      <c r="B53" s="9" t="s">
        <v>223</v>
      </c>
      <c r="C53" s="75">
        <v>1910799</v>
      </c>
    </row>
    <row r="54" spans="1:3" ht="12" customHeight="1">
      <c r="A54" s="424" t="s">
        <v>105</v>
      </c>
      <c r="B54" s="8" t="s">
        <v>185</v>
      </c>
      <c r="C54" s="78"/>
    </row>
    <row r="55" spans="1:3" ht="12" customHeight="1">
      <c r="A55" s="424" t="s">
        <v>106</v>
      </c>
      <c r="B55" s="8" t="s">
        <v>58</v>
      </c>
      <c r="C55" s="78"/>
    </row>
    <row r="56" spans="1:3" ht="12" customHeight="1" thickBot="1">
      <c r="A56" s="424" t="s">
        <v>107</v>
      </c>
      <c r="B56" s="8" t="s">
        <v>515</v>
      </c>
      <c r="C56" s="78"/>
    </row>
    <row r="57" spans="1:3" ht="15" customHeight="1" thickBot="1">
      <c r="A57" s="191" t="s">
        <v>20</v>
      </c>
      <c r="B57" s="119" t="s">
        <v>13</v>
      </c>
      <c r="C57" s="318"/>
    </row>
    <row r="58" spans="1:3" ht="13.5" thickBot="1">
      <c r="A58" s="191" t="s">
        <v>21</v>
      </c>
      <c r="B58" s="220" t="s">
        <v>520</v>
      </c>
      <c r="C58" s="340">
        <f>+C46+C52+C57</f>
        <v>3180799</v>
      </c>
    </row>
    <row r="59" ht="15" customHeight="1" thickBot="1">
      <c r="C59" s="594">
        <f>C42-C58</f>
        <v>0</v>
      </c>
    </row>
    <row r="60" spans="1:3" ht="14.25" customHeight="1" thickBot="1">
      <c r="A60" s="223" t="s">
        <v>510</v>
      </c>
      <c r="B60" s="224"/>
      <c r="C60" s="116">
        <v>0</v>
      </c>
    </row>
    <row r="61" spans="1:3" ht="13.5" thickBot="1">
      <c r="A61" s="223" t="s">
        <v>202</v>
      </c>
      <c r="B61" s="224"/>
      <c r="C61" s="11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C61"/>
  <sheetViews>
    <sheetView zoomScale="120" zoomScaleNormal="120" workbookViewId="0" topLeftCell="A1">
      <selection activeCell="I21" sqref="I21"/>
    </sheetView>
  </sheetViews>
  <sheetFormatPr defaultColWidth="9.00390625" defaultRowHeight="12.75"/>
  <cols>
    <col min="1" max="1" width="13.875" style="221" customWidth="1"/>
    <col min="2" max="2" width="79.125" style="222" customWidth="1"/>
    <col min="3" max="3" width="25.00390625" style="222" customWidth="1"/>
    <col min="4" max="16384" width="9.375" style="222" customWidth="1"/>
  </cols>
  <sheetData>
    <row r="1" spans="1:3" s="202" customFormat="1" ht="21" customHeight="1" thickBot="1">
      <c r="A1" s="201"/>
      <c r="B1" s="203"/>
      <c r="C1" s="561" t="str">
        <f>CONCATENATE("9.2.3. melléklet ",ALAPADATOK!A7," ",ALAPADATOK!B7," ",ALAPADATOK!C7," ",ALAPADATOK!D7," ",ALAPADATOK!E7," ",ALAPADATOK!F7," ",ALAPADATOK!G7," ",ALAPADATOK!H7)</f>
        <v>9.2.3. melléklet a … / 2021 ( … ) önkormányzati rendelethez</v>
      </c>
    </row>
    <row r="2" spans="1:3" s="428" customFormat="1" ht="36">
      <c r="A2" s="381" t="s">
        <v>200</v>
      </c>
      <c r="B2" s="559" t="str">
        <f>CONCATENATE(ALAPADATOK!A11)</f>
        <v>Solymári Polgármesteri Hivatal</v>
      </c>
      <c r="C2" s="341" t="s">
        <v>59</v>
      </c>
    </row>
    <row r="3" spans="1:3" s="428" customFormat="1" ht="24.75" thickBot="1">
      <c r="A3" s="422" t="s">
        <v>199</v>
      </c>
      <c r="B3" s="560" t="s">
        <v>521</v>
      </c>
      <c r="C3" s="342" t="s">
        <v>422</v>
      </c>
    </row>
    <row r="4" spans="1:3" s="429" customFormat="1" ht="15.75" customHeight="1" thickBot="1">
      <c r="A4" s="204"/>
      <c r="B4" s="204"/>
      <c r="C4" s="205" t="str">
        <f>'KV_9.2.2.sz.mell'!C4</f>
        <v>Forintban!</v>
      </c>
    </row>
    <row r="5" spans="1:3" ht="13.5" thickBot="1">
      <c r="A5" s="382" t="s">
        <v>201</v>
      </c>
      <c r="B5" s="206" t="s">
        <v>553</v>
      </c>
      <c r="C5" s="207" t="s">
        <v>55</v>
      </c>
    </row>
    <row r="6" spans="1:3" s="430" customFormat="1" ht="12.75" customHeight="1" thickBot="1">
      <c r="A6" s="183"/>
      <c r="B6" s="184" t="s">
        <v>484</v>
      </c>
      <c r="C6" s="185" t="s">
        <v>485</v>
      </c>
    </row>
    <row r="7" spans="1:3" s="430" customFormat="1" ht="15.75" customHeight="1" thickBot="1">
      <c r="A7" s="208"/>
      <c r="B7" s="209" t="s">
        <v>56</v>
      </c>
      <c r="C7" s="210"/>
    </row>
    <row r="8" spans="1:3" s="343" customFormat="1" ht="12" customHeight="1" thickBot="1">
      <c r="A8" s="183" t="s">
        <v>18</v>
      </c>
      <c r="B8" s="211" t="s">
        <v>511</v>
      </c>
      <c r="C8" s="292">
        <f>SUM(C9:C19)</f>
        <v>0</v>
      </c>
    </row>
    <row r="9" spans="1:3" s="343" customFormat="1" ht="12" customHeight="1">
      <c r="A9" s="423" t="s">
        <v>98</v>
      </c>
      <c r="B9" s="10" t="s">
        <v>268</v>
      </c>
      <c r="C9" s="333"/>
    </row>
    <row r="10" spans="1:3" s="343" customFormat="1" ht="12" customHeight="1">
      <c r="A10" s="424" t="s">
        <v>99</v>
      </c>
      <c r="B10" s="8" t="s">
        <v>269</v>
      </c>
      <c r="C10" s="290"/>
    </row>
    <row r="11" spans="1:3" s="343" customFormat="1" ht="12" customHeight="1">
      <c r="A11" s="424" t="s">
        <v>100</v>
      </c>
      <c r="B11" s="8" t="s">
        <v>270</v>
      </c>
      <c r="C11" s="290"/>
    </row>
    <row r="12" spans="1:3" s="343" customFormat="1" ht="12" customHeight="1">
      <c r="A12" s="424" t="s">
        <v>101</v>
      </c>
      <c r="B12" s="8" t="s">
        <v>271</v>
      </c>
      <c r="C12" s="290"/>
    </row>
    <row r="13" spans="1:3" s="343" customFormat="1" ht="12" customHeight="1">
      <c r="A13" s="424" t="s">
        <v>146</v>
      </c>
      <c r="B13" s="8" t="s">
        <v>272</v>
      </c>
      <c r="C13" s="290"/>
    </row>
    <row r="14" spans="1:3" s="343" customFormat="1" ht="12" customHeight="1">
      <c r="A14" s="424" t="s">
        <v>102</v>
      </c>
      <c r="B14" s="8" t="s">
        <v>390</v>
      </c>
      <c r="C14" s="290"/>
    </row>
    <row r="15" spans="1:3" s="343" customFormat="1" ht="12" customHeight="1">
      <c r="A15" s="424" t="s">
        <v>103</v>
      </c>
      <c r="B15" s="7" t="s">
        <v>391</v>
      </c>
      <c r="C15" s="290"/>
    </row>
    <row r="16" spans="1:3" s="343" customFormat="1" ht="12" customHeight="1">
      <c r="A16" s="424" t="s">
        <v>113</v>
      </c>
      <c r="B16" s="8" t="s">
        <v>275</v>
      </c>
      <c r="C16" s="334"/>
    </row>
    <row r="17" spans="1:3" s="431" customFormat="1" ht="12" customHeight="1">
      <c r="A17" s="424" t="s">
        <v>114</v>
      </c>
      <c r="B17" s="8" t="s">
        <v>276</v>
      </c>
      <c r="C17" s="290"/>
    </row>
    <row r="18" spans="1:3" s="431" customFormat="1" ht="12" customHeight="1">
      <c r="A18" s="424" t="s">
        <v>115</v>
      </c>
      <c r="B18" s="8" t="s">
        <v>427</v>
      </c>
      <c r="C18" s="291"/>
    </row>
    <row r="19" spans="1:3" s="431" customFormat="1" ht="12" customHeight="1" thickBot="1">
      <c r="A19" s="424" t="s">
        <v>116</v>
      </c>
      <c r="B19" s="7" t="s">
        <v>277</v>
      </c>
      <c r="C19" s="291"/>
    </row>
    <row r="20" spans="1:3" s="343" customFormat="1" ht="12" customHeight="1" thickBot="1">
      <c r="A20" s="183" t="s">
        <v>19</v>
      </c>
      <c r="B20" s="211" t="s">
        <v>392</v>
      </c>
      <c r="C20" s="292">
        <f>SUM(C21:C23)</f>
        <v>0</v>
      </c>
    </row>
    <row r="21" spans="1:3" s="431" customFormat="1" ht="12" customHeight="1">
      <c r="A21" s="424" t="s">
        <v>104</v>
      </c>
      <c r="B21" s="9" t="s">
        <v>251</v>
      </c>
      <c r="C21" s="290"/>
    </row>
    <row r="22" spans="1:3" s="431" customFormat="1" ht="12" customHeight="1">
      <c r="A22" s="424" t="s">
        <v>105</v>
      </c>
      <c r="B22" s="8" t="s">
        <v>393</v>
      </c>
      <c r="C22" s="290"/>
    </row>
    <row r="23" spans="1:3" s="431" customFormat="1" ht="12" customHeight="1">
      <c r="A23" s="424" t="s">
        <v>106</v>
      </c>
      <c r="B23" s="8" t="s">
        <v>394</v>
      </c>
      <c r="C23" s="290"/>
    </row>
    <row r="24" spans="1:3" s="431" customFormat="1" ht="12" customHeight="1" thickBot="1">
      <c r="A24" s="424" t="s">
        <v>107</v>
      </c>
      <c r="B24" s="8" t="s">
        <v>512</v>
      </c>
      <c r="C24" s="290"/>
    </row>
    <row r="25" spans="1:3" s="431" customFormat="1" ht="12" customHeight="1" thickBot="1">
      <c r="A25" s="191" t="s">
        <v>20</v>
      </c>
      <c r="B25" s="119" t="s">
        <v>172</v>
      </c>
      <c r="C25" s="318"/>
    </row>
    <row r="26" spans="1:3" s="431" customFormat="1" ht="12" customHeight="1" thickBot="1">
      <c r="A26" s="191" t="s">
        <v>21</v>
      </c>
      <c r="B26" s="119" t="s">
        <v>513</v>
      </c>
      <c r="C26" s="292">
        <f>+C27+C28+C29</f>
        <v>0</v>
      </c>
    </row>
    <row r="27" spans="1:3" s="431" customFormat="1" ht="12" customHeight="1">
      <c r="A27" s="425" t="s">
        <v>261</v>
      </c>
      <c r="B27" s="426" t="s">
        <v>256</v>
      </c>
      <c r="C27" s="75"/>
    </row>
    <row r="28" spans="1:3" s="431" customFormat="1" ht="12" customHeight="1">
      <c r="A28" s="425" t="s">
        <v>262</v>
      </c>
      <c r="B28" s="426" t="s">
        <v>393</v>
      </c>
      <c r="C28" s="290"/>
    </row>
    <row r="29" spans="1:3" s="431" customFormat="1" ht="12" customHeight="1">
      <c r="A29" s="425" t="s">
        <v>263</v>
      </c>
      <c r="B29" s="427" t="s">
        <v>396</v>
      </c>
      <c r="C29" s="290"/>
    </row>
    <row r="30" spans="1:3" s="431" customFormat="1" ht="12" customHeight="1" thickBot="1">
      <c r="A30" s="424" t="s">
        <v>264</v>
      </c>
      <c r="B30" s="136" t="s">
        <v>514</v>
      </c>
      <c r="C30" s="82"/>
    </row>
    <row r="31" spans="1:3" s="431" customFormat="1" ht="12" customHeight="1" thickBot="1">
      <c r="A31" s="191" t="s">
        <v>22</v>
      </c>
      <c r="B31" s="119" t="s">
        <v>397</v>
      </c>
      <c r="C31" s="292">
        <f>+C32+C33+C34</f>
        <v>0</v>
      </c>
    </row>
    <row r="32" spans="1:3" s="431" customFormat="1" ht="12" customHeight="1">
      <c r="A32" s="425" t="s">
        <v>91</v>
      </c>
      <c r="B32" s="426" t="s">
        <v>282</v>
      </c>
      <c r="C32" s="75"/>
    </row>
    <row r="33" spans="1:3" s="431" customFormat="1" ht="12" customHeight="1">
      <c r="A33" s="425" t="s">
        <v>92</v>
      </c>
      <c r="B33" s="427" t="s">
        <v>283</v>
      </c>
      <c r="C33" s="293"/>
    </row>
    <row r="34" spans="1:3" s="431" customFormat="1" ht="12" customHeight="1" thickBot="1">
      <c r="A34" s="424" t="s">
        <v>93</v>
      </c>
      <c r="B34" s="136" t="s">
        <v>284</v>
      </c>
      <c r="C34" s="82"/>
    </row>
    <row r="35" spans="1:3" s="343" customFormat="1" ht="12" customHeight="1" thickBot="1">
      <c r="A35" s="191" t="s">
        <v>23</v>
      </c>
      <c r="B35" s="119" t="s">
        <v>367</v>
      </c>
      <c r="C35" s="318"/>
    </row>
    <row r="36" spans="1:3" s="343" customFormat="1" ht="12" customHeight="1" thickBot="1">
      <c r="A36" s="191" t="s">
        <v>24</v>
      </c>
      <c r="B36" s="119" t="s">
        <v>398</v>
      </c>
      <c r="C36" s="335"/>
    </row>
    <row r="37" spans="1:3" s="343" customFormat="1" ht="12" customHeight="1" thickBot="1">
      <c r="A37" s="183" t="s">
        <v>25</v>
      </c>
      <c r="B37" s="119" t="s">
        <v>399</v>
      </c>
      <c r="C37" s="336">
        <f>+C8+C20+C25+C26+C31+C35+C36</f>
        <v>0</v>
      </c>
    </row>
    <row r="38" spans="1:3" s="343" customFormat="1" ht="12" customHeight="1" thickBot="1">
      <c r="A38" s="212" t="s">
        <v>26</v>
      </c>
      <c r="B38" s="119" t="s">
        <v>400</v>
      </c>
      <c r="C38" s="336">
        <f>+C39+C40+C41</f>
        <v>0</v>
      </c>
    </row>
    <row r="39" spans="1:3" s="343" customFormat="1" ht="12" customHeight="1">
      <c r="A39" s="425" t="s">
        <v>401</v>
      </c>
      <c r="B39" s="426" t="s">
        <v>229</v>
      </c>
      <c r="C39" s="75"/>
    </row>
    <row r="40" spans="1:3" s="343" customFormat="1" ht="12" customHeight="1">
      <c r="A40" s="425" t="s">
        <v>402</v>
      </c>
      <c r="B40" s="427" t="s">
        <v>2</v>
      </c>
      <c r="C40" s="293"/>
    </row>
    <row r="41" spans="1:3" s="431" customFormat="1" ht="12" customHeight="1" thickBot="1">
      <c r="A41" s="424" t="s">
        <v>403</v>
      </c>
      <c r="B41" s="136" t="s">
        <v>404</v>
      </c>
      <c r="C41" s="82"/>
    </row>
    <row r="42" spans="1:3" s="431" customFormat="1" ht="15" customHeight="1" thickBot="1">
      <c r="A42" s="212" t="s">
        <v>27</v>
      </c>
      <c r="B42" s="213" t="s">
        <v>405</v>
      </c>
      <c r="C42" s="339">
        <f>+C37+C38</f>
        <v>0</v>
      </c>
    </row>
    <row r="43" spans="1:3" s="431" customFormat="1" ht="15" customHeight="1">
      <c r="A43" s="214"/>
      <c r="B43" s="215"/>
      <c r="C43" s="337"/>
    </row>
    <row r="44" spans="1:3" ht="13.5" thickBot="1">
      <c r="A44" s="216"/>
      <c r="B44" s="217"/>
      <c r="C44" s="338"/>
    </row>
    <row r="45" spans="1:3" s="430" customFormat="1" ht="16.5" customHeight="1" thickBot="1">
      <c r="A45" s="218"/>
      <c r="B45" s="219" t="s">
        <v>57</v>
      </c>
      <c r="C45" s="339"/>
    </row>
    <row r="46" spans="1:3" s="432" customFormat="1" ht="12" customHeight="1" thickBot="1">
      <c r="A46" s="191" t="s">
        <v>18</v>
      </c>
      <c r="B46" s="119" t="s">
        <v>406</v>
      </c>
      <c r="C46" s="292">
        <f>SUM(C47:C51)</f>
        <v>0</v>
      </c>
    </row>
    <row r="47" spans="1:3" ht="12" customHeight="1">
      <c r="A47" s="424" t="s">
        <v>98</v>
      </c>
      <c r="B47" s="9" t="s">
        <v>49</v>
      </c>
      <c r="C47" s="75"/>
    </row>
    <row r="48" spans="1:3" ht="12" customHeight="1">
      <c r="A48" s="424" t="s">
        <v>99</v>
      </c>
      <c r="B48" s="8" t="s">
        <v>181</v>
      </c>
      <c r="C48" s="78"/>
    </row>
    <row r="49" spans="1:3" ht="12" customHeight="1">
      <c r="A49" s="424" t="s">
        <v>100</v>
      </c>
      <c r="B49" s="8" t="s">
        <v>138</v>
      </c>
      <c r="C49" s="78"/>
    </row>
    <row r="50" spans="1:3" ht="12" customHeight="1">
      <c r="A50" s="424" t="s">
        <v>101</v>
      </c>
      <c r="B50" s="8" t="s">
        <v>182</v>
      </c>
      <c r="C50" s="78"/>
    </row>
    <row r="51" spans="1:3" ht="12" customHeight="1" thickBot="1">
      <c r="A51" s="424" t="s">
        <v>146</v>
      </c>
      <c r="B51" s="8" t="s">
        <v>183</v>
      </c>
      <c r="C51" s="78"/>
    </row>
    <row r="52" spans="1:3" ht="12" customHeight="1" thickBot="1">
      <c r="A52" s="191" t="s">
        <v>19</v>
      </c>
      <c r="B52" s="119" t="s">
        <v>407</v>
      </c>
      <c r="C52" s="292">
        <f>SUM(C53:C55)</f>
        <v>0</v>
      </c>
    </row>
    <row r="53" spans="1:3" s="432" customFormat="1" ht="12" customHeight="1">
      <c r="A53" s="424" t="s">
        <v>104</v>
      </c>
      <c r="B53" s="9" t="s">
        <v>223</v>
      </c>
      <c r="C53" s="75"/>
    </row>
    <row r="54" spans="1:3" ht="12" customHeight="1">
      <c r="A54" s="424" t="s">
        <v>105</v>
      </c>
      <c r="B54" s="8" t="s">
        <v>185</v>
      </c>
      <c r="C54" s="78"/>
    </row>
    <row r="55" spans="1:3" ht="12" customHeight="1">
      <c r="A55" s="424" t="s">
        <v>106</v>
      </c>
      <c r="B55" s="8" t="s">
        <v>58</v>
      </c>
      <c r="C55" s="78"/>
    </row>
    <row r="56" spans="1:3" ht="12" customHeight="1" thickBot="1">
      <c r="A56" s="424" t="s">
        <v>107</v>
      </c>
      <c r="B56" s="8" t="s">
        <v>515</v>
      </c>
      <c r="C56" s="78"/>
    </row>
    <row r="57" spans="1:3" ht="15" customHeight="1" thickBot="1">
      <c r="A57" s="191" t="s">
        <v>20</v>
      </c>
      <c r="B57" s="119" t="s">
        <v>13</v>
      </c>
      <c r="C57" s="318"/>
    </row>
    <row r="58" spans="1:3" ht="13.5" thickBot="1">
      <c r="A58" s="191" t="s">
        <v>21</v>
      </c>
      <c r="B58" s="220" t="s">
        <v>520</v>
      </c>
      <c r="C58" s="340">
        <f>+C46+C52+C57</f>
        <v>0</v>
      </c>
    </row>
    <row r="59" ht="15" customHeight="1" thickBot="1">
      <c r="C59" s="594">
        <f>C42-C58</f>
        <v>0</v>
      </c>
    </row>
    <row r="60" spans="1:3" ht="14.25" customHeight="1" thickBot="1">
      <c r="A60" s="223" t="s">
        <v>510</v>
      </c>
      <c r="B60" s="224"/>
      <c r="C60" s="116">
        <v>0</v>
      </c>
    </row>
    <row r="61" spans="1:3" ht="13.5" thickBot="1">
      <c r="A61" s="223" t="s">
        <v>202</v>
      </c>
      <c r="B61" s="224"/>
      <c r="C61" s="116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C60"/>
  <sheetViews>
    <sheetView zoomScale="120" zoomScaleNormal="120" workbookViewId="0" topLeftCell="A23">
      <selection activeCell="C58" sqref="C58"/>
    </sheetView>
  </sheetViews>
  <sheetFormatPr defaultColWidth="9.00390625" defaultRowHeight="12.75"/>
  <cols>
    <col min="1" max="1" width="13.875" style="221" customWidth="1"/>
    <col min="2" max="2" width="79.125" style="222" customWidth="1"/>
    <col min="3" max="3" width="25.00390625" style="222" customWidth="1"/>
    <col min="4" max="16384" width="9.375" style="222" customWidth="1"/>
  </cols>
  <sheetData>
    <row r="1" spans="1:3" s="202" customFormat="1" ht="21" customHeight="1" thickBot="1">
      <c r="A1" s="201"/>
      <c r="B1" s="203"/>
      <c r="C1" s="561" t="str">
        <f>CONCATENATE(ALAPADATOK!P13," melléklet ",ALAPADATOK!A7," ",ALAPADATOK!B7," ",ALAPADATOK!C7," ",ALAPADATOK!D7," ",ALAPADATOK!E7," ",ALAPADATOK!F7," ",ALAPADATOK!G7," ",ALAPADATOK!H7)</f>
        <v>9.3. melléklet a … / 2021 ( … ) önkormányzati rendelethez</v>
      </c>
    </row>
    <row r="2" spans="1:3" s="428" customFormat="1" ht="36">
      <c r="A2" s="381" t="s">
        <v>200</v>
      </c>
      <c r="B2" s="613" t="str">
        <f>CONCATENATE(ALAPADATOK!B13)</f>
        <v>Apáczai Csere János Művelődési Ház és Könyvtár</v>
      </c>
      <c r="C2" s="341" t="s">
        <v>60</v>
      </c>
    </row>
    <row r="3" spans="1:3" s="428" customFormat="1" ht="24.75" thickBot="1">
      <c r="A3" s="422" t="s">
        <v>199</v>
      </c>
      <c r="B3" s="560" t="s">
        <v>389</v>
      </c>
      <c r="C3" s="342" t="s">
        <v>54</v>
      </c>
    </row>
    <row r="4" spans="1:3" s="429" customFormat="1" ht="15.75" customHeight="1" thickBot="1">
      <c r="A4" s="204"/>
      <c r="B4" s="204"/>
      <c r="C4" s="205" t="str">
        <f>'KV_9.2.3.sz.mell'!C4</f>
        <v>Forintban!</v>
      </c>
    </row>
    <row r="5" spans="1:3" ht="13.5" thickBot="1">
      <c r="A5" s="382" t="s">
        <v>201</v>
      </c>
      <c r="B5" s="206" t="s">
        <v>553</v>
      </c>
      <c r="C5" s="207" t="s">
        <v>55</v>
      </c>
    </row>
    <row r="6" spans="1:3" s="430" customFormat="1" ht="12.75" customHeight="1" thickBot="1">
      <c r="A6" s="183"/>
      <c r="B6" s="184" t="s">
        <v>484</v>
      </c>
      <c r="C6" s="185" t="s">
        <v>485</v>
      </c>
    </row>
    <row r="7" spans="1:3" s="430" customFormat="1" ht="15.75" customHeight="1" thickBot="1">
      <c r="A7" s="208"/>
      <c r="B7" s="209" t="s">
        <v>56</v>
      </c>
      <c r="C7" s="210"/>
    </row>
    <row r="8" spans="1:3" s="343" customFormat="1" ht="12" customHeight="1" thickBot="1">
      <c r="A8" s="183" t="s">
        <v>18</v>
      </c>
      <c r="B8" s="211" t="s">
        <v>511</v>
      </c>
      <c r="C8" s="292">
        <f>SUM(C9:C19)</f>
        <v>5980000</v>
      </c>
    </row>
    <row r="9" spans="1:3" s="343" customFormat="1" ht="12" customHeight="1">
      <c r="A9" s="423" t="s">
        <v>98</v>
      </c>
      <c r="B9" s="10" t="s">
        <v>268</v>
      </c>
      <c r="C9" s="333"/>
    </row>
    <row r="10" spans="1:3" s="343" customFormat="1" ht="12" customHeight="1">
      <c r="A10" s="424" t="s">
        <v>99</v>
      </c>
      <c r="B10" s="8" t="s">
        <v>269</v>
      </c>
      <c r="C10" s="290">
        <v>5950000</v>
      </c>
    </row>
    <row r="11" spans="1:3" s="343" customFormat="1" ht="12" customHeight="1">
      <c r="A11" s="424" t="s">
        <v>100</v>
      </c>
      <c r="B11" s="8" t="s">
        <v>270</v>
      </c>
      <c r="C11" s="290"/>
    </row>
    <row r="12" spans="1:3" s="343" customFormat="1" ht="12" customHeight="1">
      <c r="A12" s="424" t="s">
        <v>101</v>
      </c>
      <c r="B12" s="8" t="s">
        <v>271</v>
      </c>
      <c r="C12" s="290"/>
    </row>
    <row r="13" spans="1:3" s="343" customFormat="1" ht="12" customHeight="1">
      <c r="A13" s="424" t="s">
        <v>146</v>
      </c>
      <c r="B13" s="8" t="s">
        <v>272</v>
      </c>
      <c r="C13" s="290"/>
    </row>
    <row r="14" spans="1:3" s="343" customFormat="1" ht="12" customHeight="1">
      <c r="A14" s="424" t="s">
        <v>102</v>
      </c>
      <c r="B14" s="8" t="s">
        <v>390</v>
      </c>
      <c r="C14" s="290"/>
    </row>
    <row r="15" spans="1:3" s="343" customFormat="1" ht="12" customHeight="1">
      <c r="A15" s="424" t="s">
        <v>103</v>
      </c>
      <c r="B15" s="7" t="s">
        <v>391</v>
      </c>
      <c r="C15" s="290"/>
    </row>
    <row r="16" spans="1:3" s="343" customFormat="1" ht="12" customHeight="1">
      <c r="A16" s="424" t="s">
        <v>113</v>
      </c>
      <c r="B16" s="8" t="s">
        <v>275</v>
      </c>
      <c r="C16" s="334"/>
    </row>
    <row r="17" spans="1:3" s="431" customFormat="1" ht="12" customHeight="1">
      <c r="A17" s="424" t="s">
        <v>114</v>
      </c>
      <c r="B17" s="8" t="s">
        <v>276</v>
      </c>
      <c r="C17" s="290"/>
    </row>
    <row r="18" spans="1:3" s="431" customFormat="1" ht="12" customHeight="1">
      <c r="A18" s="424" t="s">
        <v>115</v>
      </c>
      <c r="B18" s="8" t="s">
        <v>427</v>
      </c>
      <c r="C18" s="291"/>
    </row>
    <row r="19" spans="1:3" s="431" customFormat="1" ht="12" customHeight="1" thickBot="1">
      <c r="A19" s="424" t="s">
        <v>116</v>
      </c>
      <c r="B19" s="7" t="s">
        <v>277</v>
      </c>
      <c r="C19" s="291">
        <v>30000</v>
      </c>
    </row>
    <row r="20" spans="1:3" s="343" customFormat="1" ht="12" customHeight="1" thickBot="1">
      <c r="A20" s="183" t="s">
        <v>19</v>
      </c>
      <c r="B20" s="211" t="s">
        <v>392</v>
      </c>
      <c r="C20" s="292">
        <f>SUM(C21:C23)</f>
        <v>0</v>
      </c>
    </row>
    <row r="21" spans="1:3" s="431" customFormat="1" ht="12" customHeight="1">
      <c r="A21" s="424" t="s">
        <v>104</v>
      </c>
      <c r="B21" s="9" t="s">
        <v>251</v>
      </c>
      <c r="C21" s="290"/>
    </row>
    <row r="22" spans="1:3" s="431" customFormat="1" ht="12" customHeight="1">
      <c r="A22" s="424" t="s">
        <v>105</v>
      </c>
      <c r="B22" s="8" t="s">
        <v>393</v>
      </c>
      <c r="C22" s="290"/>
    </row>
    <row r="23" spans="1:3" s="431" customFormat="1" ht="12" customHeight="1">
      <c r="A23" s="424" t="s">
        <v>106</v>
      </c>
      <c r="B23" s="8" t="s">
        <v>394</v>
      </c>
      <c r="C23" s="290"/>
    </row>
    <row r="24" spans="1:3" s="431" customFormat="1" ht="12" customHeight="1" thickBot="1">
      <c r="A24" s="424" t="s">
        <v>107</v>
      </c>
      <c r="B24" s="8" t="s">
        <v>516</v>
      </c>
      <c r="C24" s="290"/>
    </row>
    <row r="25" spans="1:3" s="431" customFormat="1" ht="12" customHeight="1" thickBot="1">
      <c r="A25" s="191" t="s">
        <v>20</v>
      </c>
      <c r="B25" s="119" t="s">
        <v>172</v>
      </c>
      <c r="C25" s="318"/>
    </row>
    <row r="26" spans="1:3" s="431" customFormat="1" ht="12" customHeight="1" thickBot="1">
      <c r="A26" s="191" t="s">
        <v>21</v>
      </c>
      <c r="B26" s="119" t="s">
        <v>395</v>
      </c>
      <c r="C26" s="292">
        <f>+C27+C28</f>
        <v>0</v>
      </c>
    </row>
    <row r="27" spans="1:3" s="431" customFormat="1" ht="12" customHeight="1">
      <c r="A27" s="425" t="s">
        <v>261</v>
      </c>
      <c r="B27" s="426" t="s">
        <v>393</v>
      </c>
      <c r="C27" s="75"/>
    </row>
    <row r="28" spans="1:3" s="431" customFormat="1" ht="12" customHeight="1">
      <c r="A28" s="425" t="s">
        <v>262</v>
      </c>
      <c r="B28" s="427" t="s">
        <v>396</v>
      </c>
      <c r="C28" s="293"/>
    </row>
    <row r="29" spans="1:3" s="431" customFormat="1" ht="12" customHeight="1" thickBot="1">
      <c r="A29" s="424" t="s">
        <v>263</v>
      </c>
      <c r="B29" s="136" t="s">
        <v>517</v>
      </c>
      <c r="C29" s="82"/>
    </row>
    <row r="30" spans="1:3" s="431" customFormat="1" ht="12" customHeight="1" thickBot="1">
      <c r="A30" s="191" t="s">
        <v>22</v>
      </c>
      <c r="B30" s="119" t="s">
        <v>397</v>
      </c>
      <c r="C30" s="292">
        <f>+C31+C32+C33</f>
        <v>0</v>
      </c>
    </row>
    <row r="31" spans="1:3" s="431" customFormat="1" ht="12" customHeight="1">
      <c r="A31" s="425" t="s">
        <v>91</v>
      </c>
      <c r="B31" s="426" t="s">
        <v>282</v>
      </c>
      <c r="C31" s="75"/>
    </row>
    <row r="32" spans="1:3" s="431" customFormat="1" ht="12" customHeight="1">
      <c r="A32" s="425" t="s">
        <v>92</v>
      </c>
      <c r="B32" s="427" t="s">
        <v>283</v>
      </c>
      <c r="C32" s="293"/>
    </row>
    <row r="33" spans="1:3" s="431" customFormat="1" ht="12" customHeight="1" thickBot="1">
      <c r="A33" s="424" t="s">
        <v>93</v>
      </c>
      <c r="B33" s="136" t="s">
        <v>284</v>
      </c>
      <c r="C33" s="82"/>
    </row>
    <row r="34" spans="1:3" s="343" customFormat="1" ht="12" customHeight="1" thickBot="1">
      <c r="A34" s="191" t="s">
        <v>23</v>
      </c>
      <c r="B34" s="119" t="s">
        <v>367</v>
      </c>
      <c r="C34" s="318"/>
    </row>
    <row r="35" spans="1:3" s="343" customFormat="1" ht="12" customHeight="1" thickBot="1">
      <c r="A35" s="191" t="s">
        <v>24</v>
      </c>
      <c r="B35" s="119" t="s">
        <v>398</v>
      </c>
      <c r="C35" s="335"/>
    </row>
    <row r="36" spans="1:3" s="343" customFormat="1" ht="12" customHeight="1" thickBot="1">
      <c r="A36" s="183" t="s">
        <v>25</v>
      </c>
      <c r="B36" s="119" t="s">
        <v>518</v>
      </c>
      <c r="C36" s="336">
        <f>+C8+C20+C25+C26+C30+C34+C35</f>
        <v>5980000</v>
      </c>
    </row>
    <row r="37" spans="1:3" s="343" customFormat="1" ht="12" customHeight="1" thickBot="1">
      <c r="A37" s="212" t="s">
        <v>26</v>
      </c>
      <c r="B37" s="119" t="s">
        <v>400</v>
      </c>
      <c r="C37" s="336">
        <f>+C38+C39+C40</f>
        <v>109150656</v>
      </c>
    </row>
    <row r="38" spans="1:3" s="343" customFormat="1" ht="12" customHeight="1">
      <c r="A38" s="425" t="s">
        <v>401</v>
      </c>
      <c r="B38" s="426" t="s">
        <v>229</v>
      </c>
      <c r="C38" s="75">
        <v>1054129</v>
      </c>
    </row>
    <row r="39" spans="1:3" s="343" customFormat="1" ht="12" customHeight="1">
      <c r="A39" s="425" t="s">
        <v>402</v>
      </c>
      <c r="B39" s="427" t="s">
        <v>2</v>
      </c>
      <c r="C39" s="293"/>
    </row>
    <row r="40" spans="1:3" s="431" customFormat="1" ht="12" customHeight="1" thickBot="1">
      <c r="A40" s="424" t="s">
        <v>403</v>
      </c>
      <c r="B40" s="136" t="s">
        <v>404</v>
      </c>
      <c r="C40" s="82">
        <v>108096527</v>
      </c>
    </row>
    <row r="41" spans="1:3" s="431" customFormat="1" ht="15" customHeight="1" thickBot="1">
      <c r="A41" s="212" t="s">
        <v>27</v>
      </c>
      <c r="B41" s="213" t="s">
        <v>405</v>
      </c>
      <c r="C41" s="339">
        <f>+C36+C37</f>
        <v>115130656</v>
      </c>
    </row>
    <row r="42" spans="1:3" s="431" customFormat="1" ht="15" customHeight="1">
      <c r="A42" s="214"/>
      <c r="B42" s="215"/>
      <c r="C42" s="337"/>
    </row>
    <row r="43" spans="1:3" ht="13.5" thickBot="1">
      <c r="A43" s="216"/>
      <c r="B43" s="217"/>
      <c r="C43" s="338"/>
    </row>
    <row r="44" spans="1:3" s="430" customFormat="1" ht="16.5" customHeight="1" thickBot="1">
      <c r="A44" s="218"/>
      <c r="B44" s="219" t="s">
        <v>57</v>
      </c>
      <c r="C44" s="339"/>
    </row>
    <row r="45" spans="1:3" s="432" customFormat="1" ht="12" customHeight="1" thickBot="1">
      <c r="A45" s="191" t="s">
        <v>18</v>
      </c>
      <c r="B45" s="119" t="s">
        <v>406</v>
      </c>
      <c r="C45" s="292">
        <f>SUM(C46:C50)</f>
        <v>108475856</v>
      </c>
    </row>
    <row r="46" spans="1:3" ht="12" customHeight="1">
      <c r="A46" s="424" t="s">
        <v>98</v>
      </c>
      <c r="B46" s="9" t="s">
        <v>49</v>
      </c>
      <c r="C46" s="75">
        <v>57458562</v>
      </c>
    </row>
    <row r="47" spans="1:3" ht="12" customHeight="1">
      <c r="A47" s="424" t="s">
        <v>99</v>
      </c>
      <c r="B47" s="8" t="s">
        <v>181</v>
      </c>
      <c r="C47" s="78">
        <v>8811194</v>
      </c>
    </row>
    <row r="48" spans="1:3" ht="12" customHeight="1">
      <c r="A48" s="424" t="s">
        <v>100</v>
      </c>
      <c r="B48" s="8" t="s">
        <v>138</v>
      </c>
      <c r="C48" s="78">
        <v>42206100</v>
      </c>
    </row>
    <row r="49" spans="1:3" ht="12" customHeight="1">
      <c r="A49" s="424" t="s">
        <v>101</v>
      </c>
      <c r="B49" s="8" t="s">
        <v>182</v>
      </c>
      <c r="C49" s="78"/>
    </row>
    <row r="50" spans="1:3" ht="12" customHeight="1" thickBot="1">
      <c r="A50" s="424" t="s">
        <v>146</v>
      </c>
      <c r="B50" s="8" t="s">
        <v>183</v>
      </c>
      <c r="C50" s="78"/>
    </row>
    <row r="51" spans="1:3" ht="12" customHeight="1" thickBot="1">
      <c r="A51" s="191" t="s">
        <v>19</v>
      </c>
      <c r="B51" s="119" t="s">
        <v>407</v>
      </c>
      <c r="C51" s="292">
        <f>SUM(C52:C54)</f>
        <v>6654800</v>
      </c>
    </row>
    <row r="52" spans="1:3" s="432" customFormat="1" ht="12" customHeight="1">
      <c r="A52" s="424" t="s">
        <v>104</v>
      </c>
      <c r="B52" s="9" t="s">
        <v>223</v>
      </c>
      <c r="C52" s="75">
        <v>6654800</v>
      </c>
    </row>
    <row r="53" spans="1:3" ht="12" customHeight="1">
      <c r="A53" s="424" t="s">
        <v>105</v>
      </c>
      <c r="B53" s="8" t="s">
        <v>185</v>
      </c>
      <c r="C53" s="78"/>
    </row>
    <row r="54" spans="1:3" ht="12" customHeight="1">
      <c r="A54" s="424" t="s">
        <v>106</v>
      </c>
      <c r="B54" s="8" t="s">
        <v>58</v>
      </c>
      <c r="C54" s="78"/>
    </row>
    <row r="55" spans="1:3" ht="12" customHeight="1" thickBot="1">
      <c r="A55" s="424" t="s">
        <v>107</v>
      </c>
      <c r="B55" s="8" t="s">
        <v>515</v>
      </c>
      <c r="C55" s="78"/>
    </row>
    <row r="56" spans="1:3" ht="15" customHeight="1" thickBot="1">
      <c r="A56" s="191" t="s">
        <v>20</v>
      </c>
      <c r="B56" s="119" t="s">
        <v>13</v>
      </c>
      <c r="C56" s="318"/>
    </row>
    <row r="57" spans="1:3" ht="13.5" thickBot="1">
      <c r="A57" s="191" t="s">
        <v>21</v>
      </c>
      <c r="B57" s="220" t="s">
        <v>520</v>
      </c>
      <c r="C57" s="340">
        <f>+C45+C51+C56</f>
        <v>115130656</v>
      </c>
    </row>
    <row r="58" ht="15" customHeight="1" thickBot="1">
      <c r="C58" s="594">
        <f>C41-C57</f>
        <v>0</v>
      </c>
    </row>
    <row r="59" spans="1:3" ht="14.25" customHeight="1" thickBot="1">
      <c r="A59" s="223" t="s">
        <v>510</v>
      </c>
      <c r="B59" s="224"/>
      <c r="C59" s="116">
        <v>9</v>
      </c>
    </row>
    <row r="60" spans="1:3" ht="13.5" thickBot="1">
      <c r="A60" s="223" t="s">
        <v>202</v>
      </c>
      <c r="B60" s="224"/>
      <c r="C60" s="116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C60"/>
  <sheetViews>
    <sheetView zoomScale="120" zoomScaleNormal="120" workbookViewId="0" topLeftCell="A23">
      <selection activeCell="C58" sqref="C58"/>
    </sheetView>
  </sheetViews>
  <sheetFormatPr defaultColWidth="9.00390625" defaultRowHeight="12.75"/>
  <cols>
    <col min="1" max="1" width="13.875" style="221" customWidth="1"/>
    <col min="2" max="2" width="79.125" style="222" customWidth="1"/>
    <col min="3" max="3" width="25.00390625" style="222" customWidth="1"/>
    <col min="4" max="16384" width="9.375" style="222" customWidth="1"/>
  </cols>
  <sheetData>
    <row r="1" spans="1:3" s="202" customFormat="1" ht="21" customHeight="1" thickBot="1">
      <c r="A1" s="201"/>
      <c r="B1" s="203"/>
      <c r="C1" s="561" t="str">
        <f>CONCATENATE(ALAPADATOK!P13,"1. melléklet ",ALAPADATOK!A7," ",ALAPADATOK!B7," ",ALAPADATOK!C7," ",ALAPADATOK!D7," ",ALAPADATOK!E7," ",ALAPADATOK!F7," ",ALAPADATOK!G7," ",ALAPADATOK!H7)</f>
        <v>9.3.1. melléklet a … / 2021 ( … ) önkormányzati rendelethez</v>
      </c>
    </row>
    <row r="2" spans="1:3" s="428" customFormat="1" ht="36">
      <c r="A2" s="381" t="s">
        <v>200</v>
      </c>
      <c r="B2" s="559" t="str">
        <f>CONCATENATE('KV_9.3.sz.mell'!B2)</f>
        <v>Apáczai Csere János Művelődési Ház és Könyvtár</v>
      </c>
      <c r="C2" s="341" t="s">
        <v>60</v>
      </c>
    </row>
    <row r="3" spans="1:3" s="428" customFormat="1" ht="24.75" thickBot="1">
      <c r="A3" s="422" t="s">
        <v>199</v>
      </c>
      <c r="B3" s="560" t="s">
        <v>408</v>
      </c>
      <c r="C3" s="342" t="s">
        <v>59</v>
      </c>
    </row>
    <row r="4" spans="1:3" s="429" customFormat="1" ht="15.75" customHeight="1" thickBot="1">
      <c r="A4" s="204"/>
      <c r="B4" s="204"/>
      <c r="C4" s="205" t="str">
        <f>'KV_9.3.sz.mell'!C4</f>
        <v>Forintban!</v>
      </c>
    </row>
    <row r="5" spans="1:3" ht="13.5" thickBot="1">
      <c r="A5" s="382" t="s">
        <v>201</v>
      </c>
      <c r="B5" s="206" t="s">
        <v>553</v>
      </c>
      <c r="C5" s="207" t="s">
        <v>55</v>
      </c>
    </row>
    <row r="6" spans="1:3" s="430" customFormat="1" ht="12.75" customHeight="1" thickBot="1">
      <c r="A6" s="183"/>
      <c r="B6" s="184" t="s">
        <v>484</v>
      </c>
      <c r="C6" s="185" t="s">
        <v>485</v>
      </c>
    </row>
    <row r="7" spans="1:3" s="430" customFormat="1" ht="15.75" customHeight="1" thickBot="1">
      <c r="A7" s="208"/>
      <c r="B7" s="209" t="s">
        <v>56</v>
      </c>
      <c r="C7" s="210"/>
    </row>
    <row r="8" spans="1:3" s="343" customFormat="1" ht="12" customHeight="1" thickBot="1">
      <c r="A8" s="183" t="s">
        <v>18</v>
      </c>
      <c r="B8" s="211" t="s">
        <v>511</v>
      </c>
      <c r="C8" s="292">
        <f>SUM(C9:C19)</f>
        <v>0</v>
      </c>
    </row>
    <row r="9" spans="1:3" s="343" customFormat="1" ht="12" customHeight="1">
      <c r="A9" s="423" t="s">
        <v>98</v>
      </c>
      <c r="B9" s="10" t="s">
        <v>268</v>
      </c>
      <c r="C9" s="333"/>
    </row>
    <row r="10" spans="1:3" s="343" customFormat="1" ht="12" customHeight="1">
      <c r="A10" s="424" t="s">
        <v>99</v>
      </c>
      <c r="B10" s="8" t="s">
        <v>269</v>
      </c>
      <c r="C10" s="290"/>
    </row>
    <row r="11" spans="1:3" s="343" customFormat="1" ht="12" customHeight="1">
      <c r="A11" s="424" t="s">
        <v>100</v>
      </c>
      <c r="B11" s="8" t="s">
        <v>270</v>
      </c>
      <c r="C11" s="290"/>
    </row>
    <row r="12" spans="1:3" s="343" customFormat="1" ht="12" customHeight="1">
      <c r="A12" s="424" t="s">
        <v>101</v>
      </c>
      <c r="B12" s="8" t="s">
        <v>271</v>
      </c>
      <c r="C12" s="290"/>
    </row>
    <row r="13" spans="1:3" s="343" customFormat="1" ht="12" customHeight="1">
      <c r="A13" s="424" t="s">
        <v>146</v>
      </c>
      <c r="B13" s="8" t="s">
        <v>272</v>
      </c>
      <c r="C13" s="290"/>
    </row>
    <row r="14" spans="1:3" s="343" customFormat="1" ht="12" customHeight="1">
      <c r="A14" s="424" t="s">
        <v>102</v>
      </c>
      <c r="B14" s="8" t="s">
        <v>390</v>
      </c>
      <c r="C14" s="290"/>
    </row>
    <row r="15" spans="1:3" s="343" customFormat="1" ht="12" customHeight="1">
      <c r="A15" s="424" t="s">
        <v>103</v>
      </c>
      <c r="B15" s="7" t="s">
        <v>391</v>
      </c>
      <c r="C15" s="290"/>
    </row>
    <row r="16" spans="1:3" s="343" customFormat="1" ht="12" customHeight="1">
      <c r="A16" s="424" t="s">
        <v>113</v>
      </c>
      <c r="B16" s="8" t="s">
        <v>275</v>
      </c>
      <c r="C16" s="334"/>
    </row>
    <row r="17" spans="1:3" s="431" customFormat="1" ht="12" customHeight="1">
      <c r="A17" s="424" t="s">
        <v>114</v>
      </c>
      <c r="B17" s="8" t="s">
        <v>276</v>
      </c>
      <c r="C17" s="290"/>
    </row>
    <row r="18" spans="1:3" s="431" customFormat="1" ht="12" customHeight="1">
      <c r="A18" s="424" t="s">
        <v>115</v>
      </c>
      <c r="B18" s="8" t="s">
        <v>427</v>
      </c>
      <c r="C18" s="291"/>
    </row>
    <row r="19" spans="1:3" s="431" customFormat="1" ht="12" customHeight="1" thickBot="1">
      <c r="A19" s="424" t="s">
        <v>116</v>
      </c>
      <c r="B19" s="7" t="s">
        <v>277</v>
      </c>
      <c r="C19" s="291"/>
    </row>
    <row r="20" spans="1:3" s="343" customFormat="1" ht="12" customHeight="1" thickBot="1">
      <c r="A20" s="183" t="s">
        <v>19</v>
      </c>
      <c r="B20" s="211" t="s">
        <v>392</v>
      </c>
      <c r="C20" s="292">
        <f>SUM(C21:C23)</f>
        <v>0</v>
      </c>
    </row>
    <row r="21" spans="1:3" s="431" customFormat="1" ht="12" customHeight="1">
      <c r="A21" s="424" t="s">
        <v>104</v>
      </c>
      <c r="B21" s="9" t="s">
        <v>251</v>
      </c>
      <c r="C21" s="290"/>
    </row>
    <row r="22" spans="1:3" s="431" customFormat="1" ht="12" customHeight="1">
      <c r="A22" s="424" t="s">
        <v>105</v>
      </c>
      <c r="B22" s="8" t="s">
        <v>393</v>
      </c>
      <c r="C22" s="290"/>
    </row>
    <row r="23" spans="1:3" s="431" customFormat="1" ht="12" customHeight="1">
      <c r="A23" s="424" t="s">
        <v>106</v>
      </c>
      <c r="B23" s="8" t="s">
        <v>394</v>
      </c>
      <c r="C23" s="290"/>
    </row>
    <row r="24" spans="1:3" s="431" customFormat="1" ht="12" customHeight="1" thickBot="1">
      <c r="A24" s="424" t="s">
        <v>107</v>
      </c>
      <c r="B24" s="8" t="s">
        <v>516</v>
      </c>
      <c r="C24" s="290"/>
    </row>
    <row r="25" spans="1:3" s="431" customFormat="1" ht="12" customHeight="1" thickBot="1">
      <c r="A25" s="191" t="s">
        <v>20</v>
      </c>
      <c r="B25" s="119" t="s">
        <v>172</v>
      </c>
      <c r="C25" s="318"/>
    </row>
    <row r="26" spans="1:3" s="431" customFormat="1" ht="12" customHeight="1" thickBot="1">
      <c r="A26" s="191" t="s">
        <v>21</v>
      </c>
      <c r="B26" s="119" t="s">
        <v>395</v>
      </c>
      <c r="C26" s="292">
        <f>+C27+C28</f>
        <v>0</v>
      </c>
    </row>
    <row r="27" spans="1:3" s="431" customFormat="1" ht="12" customHeight="1">
      <c r="A27" s="425" t="s">
        <v>261</v>
      </c>
      <c r="B27" s="426" t="s">
        <v>393</v>
      </c>
      <c r="C27" s="75"/>
    </row>
    <row r="28" spans="1:3" s="431" customFormat="1" ht="12" customHeight="1">
      <c r="A28" s="425" t="s">
        <v>262</v>
      </c>
      <c r="B28" s="427" t="s">
        <v>396</v>
      </c>
      <c r="C28" s="293"/>
    </row>
    <row r="29" spans="1:3" s="431" customFormat="1" ht="12" customHeight="1" thickBot="1">
      <c r="A29" s="424" t="s">
        <v>263</v>
      </c>
      <c r="B29" s="136" t="s">
        <v>517</v>
      </c>
      <c r="C29" s="82"/>
    </row>
    <row r="30" spans="1:3" s="431" customFormat="1" ht="12" customHeight="1" thickBot="1">
      <c r="A30" s="191" t="s">
        <v>22</v>
      </c>
      <c r="B30" s="119" t="s">
        <v>397</v>
      </c>
      <c r="C30" s="292">
        <f>+C31+C32+C33</f>
        <v>0</v>
      </c>
    </row>
    <row r="31" spans="1:3" s="431" customFormat="1" ht="12" customHeight="1">
      <c r="A31" s="425" t="s">
        <v>91</v>
      </c>
      <c r="B31" s="426" t="s">
        <v>282</v>
      </c>
      <c r="C31" s="75"/>
    </row>
    <row r="32" spans="1:3" s="431" customFormat="1" ht="12" customHeight="1">
      <c r="A32" s="425" t="s">
        <v>92</v>
      </c>
      <c r="B32" s="427" t="s">
        <v>283</v>
      </c>
      <c r="C32" s="293"/>
    </row>
    <row r="33" spans="1:3" s="431" customFormat="1" ht="12" customHeight="1" thickBot="1">
      <c r="A33" s="424" t="s">
        <v>93</v>
      </c>
      <c r="B33" s="136" t="s">
        <v>284</v>
      </c>
      <c r="C33" s="82"/>
    </row>
    <row r="34" spans="1:3" s="343" customFormat="1" ht="12" customHeight="1" thickBot="1">
      <c r="A34" s="191" t="s">
        <v>23</v>
      </c>
      <c r="B34" s="119" t="s">
        <v>367</v>
      </c>
      <c r="C34" s="318"/>
    </row>
    <row r="35" spans="1:3" s="343" customFormat="1" ht="12" customHeight="1" thickBot="1">
      <c r="A35" s="191" t="s">
        <v>24</v>
      </c>
      <c r="B35" s="119" t="s">
        <v>398</v>
      </c>
      <c r="C35" s="335"/>
    </row>
    <row r="36" spans="1:3" s="343" customFormat="1" ht="12" customHeight="1" thickBot="1">
      <c r="A36" s="183" t="s">
        <v>25</v>
      </c>
      <c r="B36" s="119" t="s">
        <v>518</v>
      </c>
      <c r="C36" s="336">
        <f>+C8+C20+C25+C26+C30+C34+C35</f>
        <v>0</v>
      </c>
    </row>
    <row r="37" spans="1:3" s="343" customFormat="1" ht="12" customHeight="1" thickBot="1">
      <c r="A37" s="212" t="s">
        <v>26</v>
      </c>
      <c r="B37" s="119" t="s">
        <v>400</v>
      </c>
      <c r="C37" s="336">
        <f>+C38+C39+C40</f>
        <v>109150656</v>
      </c>
    </row>
    <row r="38" spans="1:3" s="343" customFormat="1" ht="12" customHeight="1">
      <c r="A38" s="425" t="s">
        <v>401</v>
      </c>
      <c r="B38" s="426" t="s">
        <v>229</v>
      </c>
      <c r="C38" s="75">
        <v>1054129</v>
      </c>
    </row>
    <row r="39" spans="1:3" s="343" customFormat="1" ht="12" customHeight="1">
      <c r="A39" s="425" t="s">
        <v>402</v>
      </c>
      <c r="B39" s="427" t="s">
        <v>2</v>
      </c>
      <c r="C39" s="293"/>
    </row>
    <row r="40" spans="1:3" s="431" customFormat="1" ht="12" customHeight="1" thickBot="1">
      <c r="A40" s="424" t="s">
        <v>403</v>
      </c>
      <c r="B40" s="136" t="s">
        <v>404</v>
      </c>
      <c r="C40" s="82">
        <v>108096527</v>
      </c>
    </row>
    <row r="41" spans="1:3" s="431" customFormat="1" ht="15" customHeight="1" thickBot="1">
      <c r="A41" s="212" t="s">
        <v>27</v>
      </c>
      <c r="B41" s="213" t="s">
        <v>405</v>
      </c>
      <c r="C41" s="339">
        <f>+C36+C37</f>
        <v>109150656</v>
      </c>
    </row>
    <row r="42" spans="1:3" s="431" customFormat="1" ht="15" customHeight="1">
      <c r="A42" s="214"/>
      <c r="B42" s="215"/>
      <c r="C42" s="337"/>
    </row>
    <row r="43" spans="1:3" ht="13.5" thickBot="1">
      <c r="A43" s="216"/>
      <c r="B43" s="217"/>
      <c r="C43" s="338"/>
    </row>
    <row r="44" spans="1:3" s="430" customFormat="1" ht="16.5" customHeight="1" thickBot="1">
      <c r="A44" s="218"/>
      <c r="B44" s="219" t="s">
        <v>57</v>
      </c>
      <c r="C44" s="339"/>
    </row>
    <row r="45" spans="1:3" s="432" customFormat="1" ht="12" customHeight="1" thickBot="1">
      <c r="A45" s="191" t="s">
        <v>18</v>
      </c>
      <c r="B45" s="119" t="s">
        <v>406</v>
      </c>
      <c r="C45" s="292">
        <f>SUM(C46:C50)</f>
        <v>104809356</v>
      </c>
    </row>
    <row r="46" spans="1:3" ht="12" customHeight="1">
      <c r="A46" s="424" t="s">
        <v>98</v>
      </c>
      <c r="B46" s="9" t="s">
        <v>49</v>
      </c>
      <c r="C46" s="75">
        <v>57458562</v>
      </c>
    </row>
    <row r="47" spans="1:3" ht="12" customHeight="1">
      <c r="A47" s="424" t="s">
        <v>99</v>
      </c>
      <c r="B47" s="8" t="s">
        <v>181</v>
      </c>
      <c r="C47" s="78">
        <v>8811194</v>
      </c>
    </row>
    <row r="48" spans="1:3" ht="12" customHeight="1">
      <c r="A48" s="424" t="s">
        <v>100</v>
      </c>
      <c r="B48" s="8" t="s">
        <v>138</v>
      </c>
      <c r="C48" s="78">
        <v>38539600</v>
      </c>
    </row>
    <row r="49" spans="1:3" ht="12" customHeight="1">
      <c r="A49" s="424" t="s">
        <v>101</v>
      </c>
      <c r="B49" s="8" t="s">
        <v>182</v>
      </c>
      <c r="C49" s="78"/>
    </row>
    <row r="50" spans="1:3" ht="12" customHeight="1" thickBot="1">
      <c r="A50" s="424" t="s">
        <v>146</v>
      </c>
      <c r="B50" s="8" t="s">
        <v>183</v>
      </c>
      <c r="C50" s="78"/>
    </row>
    <row r="51" spans="1:3" ht="12" customHeight="1" thickBot="1">
      <c r="A51" s="191" t="s">
        <v>19</v>
      </c>
      <c r="B51" s="119" t="s">
        <v>407</v>
      </c>
      <c r="C51" s="292">
        <f>SUM(C52:C54)</f>
        <v>6654800</v>
      </c>
    </row>
    <row r="52" spans="1:3" s="432" customFormat="1" ht="12" customHeight="1">
      <c r="A52" s="424" t="s">
        <v>104</v>
      </c>
      <c r="B52" s="9" t="s">
        <v>223</v>
      </c>
      <c r="C52" s="75">
        <v>6654800</v>
      </c>
    </row>
    <row r="53" spans="1:3" ht="12" customHeight="1">
      <c r="A53" s="424" t="s">
        <v>105</v>
      </c>
      <c r="B53" s="8" t="s">
        <v>185</v>
      </c>
      <c r="C53" s="78"/>
    </row>
    <row r="54" spans="1:3" ht="12" customHeight="1">
      <c r="A54" s="424" t="s">
        <v>106</v>
      </c>
      <c r="B54" s="8" t="s">
        <v>58</v>
      </c>
      <c r="C54" s="78"/>
    </row>
    <row r="55" spans="1:3" ht="12" customHeight="1" thickBot="1">
      <c r="A55" s="424" t="s">
        <v>107</v>
      </c>
      <c r="B55" s="8" t="s">
        <v>515</v>
      </c>
      <c r="C55" s="78"/>
    </row>
    <row r="56" spans="1:3" ht="15" customHeight="1" thickBot="1">
      <c r="A56" s="191" t="s">
        <v>20</v>
      </c>
      <c r="B56" s="119" t="s">
        <v>13</v>
      </c>
      <c r="C56" s="318"/>
    </row>
    <row r="57" spans="1:3" ht="13.5" thickBot="1">
      <c r="A57" s="191" t="s">
        <v>21</v>
      </c>
      <c r="B57" s="220" t="s">
        <v>520</v>
      </c>
      <c r="C57" s="340">
        <f>+C45+C51+C56</f>
        <v>111464156</v>
      </c>
    </row>
    <row r="58" ht="15" customHeight="1" thickBot="1">
      <c r="C58" s="594"/>
    </row>
    <row r="59" spans="1:3" ht="14.25" customHeight="1" thickBot="1">
      <c r="A59" s="223" t="s">
        <v>510</v>
      </c>
      <c r="B59" s="224"/>
      <c r="C59" s="116">
        <v>9</v>
      </c>
    </row>
    <row r="60" spans="1:3" ht="13.5" thickBot="1">
      <c r="A60" s="223" t="s">
        <v>202</v>
      </c>
      <c r="B60" s="224"/>
      <c r="C60" s="11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C60"/>
  <sheetViews>
    <sheetView zoomScale="120" zoomScaleNormal="120" workbookViewId="0" topLeftCell="A23">
      <selection activeCell="C49" sqref="C49"/>
    </sheetView>
  </sheetViews>
  <sheetFormatPr defaultColWidth="9.00390625" defaultRowHeight="12.75"/>
  <cols>
    <col min="1" max="1" width="13.875" style="221" customWidth="1"/>
    <col min="2" max="2" width="79.125" style="222" customWidth="1"/>
    <col min="3" max="3" width="25.00390625" style="222" customWidth="1"/>
    <col min="4" max="16384" width="9.375" style="222" customWidth="1"/>
  </cols>
  <sheetData>
    <row r="1" spans="1:3" s="202" customFormat="1" ht="21" customHeight="1" thickBot="1">
      <c r="A1" s="201"/>
      <c r="B1" s="203"/>
      <c r="C1" s="561" t="str">
        <f>CONCATENATE(ALAPADATOK!P13,"2. melléklet ",ALAPADATOK!A7," ",ALAPADATOK!B7," ",ALAPADATOK!C7," ",ALAPADATOK!D7," ",ALAPADATOK!E7," ",ALAPADATOK!F7," ",ALAPADATOK!G7," ",ALAPADATOK!H7)</f>
        <v>9.3.2. melléklet a … / 2021 ( … ) önkormányzati rendelethez</v>
      </c>
    </row>
    <row r="2" spans="1:3" s="428" customFormat="1" ht="36">
      <c r="A2" s="381" t="s">
        <v>200</v>
      </c>
      <c r="B2" s="559" t="str">
        <f>CONCATENATE('KV_9.3.1.sz.mell'!B2)</f>
        <v>Apáczai Csere János Művelődési Ház és Könyvtár</v>
      </c>
      <c r="C2" s="341" t="s">
        <v>60</v>
      </c>
    </row>
    <row r="3" spans="1:3" s="428" customFormat="1" ht="24.75" thickBot="1">
      <c r="A3" s="422" t="s">
        <v>199</v>
      </c>
      <c r="B3" s="560" t="s">
        <v>409</v>
      </c>
      <c r="C3" s="342" t="s">
        <v>60</v>
      </c>
    </row>
    <row r="4" spans="1:3" s="429" customFormat="1" ht="15.75" customHeight="1" thickBot="1">
      <c r="A4" s="204"/>
      <c r="B4" s="204"/>
      <c r="C4" s="205" t="str">
        <f>'KV_9.3.1.sz.mell'!C4</f>
        <v>Forintban!</v>
      </c>
    </row>
    <row r="5" spans="1:3" ht="13.5" thickBot="1">
      <c r="A5" s="382" t="s">
        <v>201</v>
      </c>
      <c r="B5" s="206" t="s">
        <v>553</v>
      </c>
      <c r="C5" s="207" t="s">
        <v>55</v>
      </c>
    </row>
    <row r="6" spans="1:3" s="430" customFormat="1" ht="12.75" customHeight="1" thickBot="1">
      <c r="A6" s="183"/>
      <c r="B6" s="184" t="s">
        <v>484</v>
      </c>
      <c r="C6" s="185" t="s">
        <v>485</v>
      </c>
    </row>
    <row r="7" spans="1:3" s="430" customFormat="1" ht="15.75" customHeight="1" thickBot="1">
      <c r="A7" s="208"/>
      <c r="B7" s="209" t="s">
        <v>56</v>
      </c>
      <c r="C7" s="210"/>
    </row>
    <row r="8" spans="1:3" s="343" customFormat="1" ht="12" customHeight="1" thickBot="1">
      <c r="A8" s="183" t="s">
        <v>18</v>
      </c>
      <c r="B8" s="211" t="s">
        <v>511</v>
      </c>
      <c r="C8" s="292">
        <f>SUM(C9:C19)</f>
        <v>5980000</v>
      </c>
    </row>
    <row r="9" spans="1:3" s="343" customFormat="1" ht="12" customHeight="1">
      <c r="A9" s="423" t="s">
        <v>98</v>
      </c>
      <c r="B9" s="10" t="s">
        <v>268</v>
      </c>
      <c r="C9" s="333"/>
    </row>
    <row r="10" spans="1:3" s="343" customFormat="1" ht="12" customHeight="1">
      <c r="A10" s="424" t="s">
        <v>99</v>
      </c>
      <c r="B10" s="8" t="s">
        <v>269</v>
      </c>
      <c r="C10" s="290">
        <v>5950000</v>
      </c>
    </row>
    <row r="11" spans="1:3" s="343" customFormat="1" ht="12" customHeight="1">
      <c r="A11" s="424" t="s">
        <v>100</v>
      </c>
      <c r="B11" s="8" t="s">
        <v>270</v>
      </c>
      <c r="C11" s="290"/>
    </row>
    <row r="12" spans="1:3" s="343" customFormat="1" ht="12" customHeight="1">
      <c r="A12" s="424" t="s">
        <v>101</v>
      </c>
      <c r="B12" s="8" t="s">
        <v>271</v>
      </c>
      <c r="C12" s="290"/>
    </row>
    <row r="13" spans="1:3" s="343" customFormat="1" ht="12" customHeight="1">
      <c r="A13" s="424" t="s">
        <v>146</v>
      </c>
      <c r="B13" s="8" t="s">
        <v>272</v>
      </c>
      <c r="C13" s="290"/>
    </row>
    <row r="14" spans="1:3" s="343" customFormat="1" ht="12" customHeight="1">
      <c r="A14" s="424" t="s">
        <v>102</v>
      </c>
      <c r="B14" s="8" t="s">
        <v>390</v>
      </c>
      <c r="C14" s="290"/>
    </row>
    <row r="15" spans="1:3" s="343" customFormat="1" ht="12" customHeight="1">
      <c r="A15" s="424" t="s">
        <v>103</v>
      </c>
      <c r="B15" s="7" t="s">
        <v>391</v>
      </c>
      <c r="C15" s="290"/>
    </row>
    <row r="16" spans="1:3" s="343" customFormat="1" ht="12" customHeight="1">
      <c r="A16" s="424" t="s">
        <v>113</v>
      </c>
      <c r="B16" s="8" t="s">
        <v>275</v>
      </c>
      <c r="C16" s="334"/>
    </row>
    <row r="17" spans="1:3" s="431" customFormat="1" ht="12" customHeight="1">
      <c r="A17" s="424" t="s">
        <v>114</v>
      </c>
      <c r="B17" s="8" t="s">
        <v>276</v>
      </c>
      <c r="C17" s="290"/>
    </row>
    <row r="18" spans="1:3" s="431" customFormat="1" ht="12" customHeight="1">
      <c r="A18" s="424" t="s">
        <v>115</v>
      </c>
      <c r="B18" s="8" t="s">
        <v>427</v>
      </c>
      <c r="C18" s="291"/>
    </row>
    <row r="19" spans="1:3" s="431" customFormat="1" ht="12" customHeight="1" thickBot="1">
      <c r="A19" s="424" t="s">
        <v>116</v>
      </c>
      <c r="B19" s="7" t="s">
        <v>277</v>
      </c>
      <c r="C19" s="291">
        <v>30000</v>
      </c>
    </row>
    <row r="20" spans="1:3" s="343" customFormat="1" ht="12" customHeight="1" thickBot="1">
      <c r="A20" s="183" t="s">
        <v>19</v>
      </c>
      <c r="B20" s="211" t="s">
        <v>392</v>
      </c>
      <c r="C20" s="292">
        <f>SUM(C21:C23)</f>
        <v>0</v>
      </c>
    </row>
    <row r="21" spans="1:3" s="431" customFormat="1" ht="12" customHeight="1">
      <c r="A21" s="424" t="s">
        <v>104</v>
      </c>
      <c r="B21" s="9" t="s">
        <v>251</v>
      </c>
      <c r="C21" s="290"/>
    </row>
    <row r="22" spans="1:3" s="431" customFormat="1" ht="12" customHeight="1">
      <c r="A22" s="424" t="s">
        <v>105</v>
      </c>
      <c r="B22" s="8" t="s">
        <v>393</v>
      </c>
      <c r="C22" s="290"/>
    </row>
    <row r="23" spans="1:3" s="431" customFormat="1" ht="12" customHeight="1">
      <c r="A23" s="424" t="s">
        <v>106</v>
      </c>
      <c r="B23" s="8" t="s">
        <v>394</v>
      </c>
      <c r="C23" s="290"/>
    </row>
    <row r="24" spans="1:3" s="431" customFormat="1" ht="12" customHeight="1" thickBot="1">
      <c r="A24" s="424" t="s">
        <v>107</v>
      </c>
      <c r="B24" s="8" t="s">
        <v>516</v>
      </c>
      <c r="C24" s="290"/>
    </row>
    <row r="25" spans="1:3" s="431" customFormat="1" ht="12" customHeight="1" thickBot="1">
      <c r="A25" s="191" t="s">
        <v>20</v>
      </c>
      <c r="B25" s="119" t="s">
        <v>172</v>
      </c>
      <c r="C25" s="318"/>
    </row>
    <row r="26" spans="1:3" s="431" customFormat="1" ht="12" customHeight="1" thickBot="1">
      <c r="A26" s="191" t="s">
        <v>21</v>
      </c>
      <c r="B26" s="119" t="s">
        <v>395</v>
      </c>
      <c r="C26" s="292">
        <f>+C27+C28</f>
        <v>0</v>
      </c>
    </row>
    <row r="27" spans="1:3" s="431" customFormat="1" ht="12" customHeight="1">
      <c r="A27" s="425" t="s">
        <v>261</v>
      </c>
      <c r="B27" s="426" t="s">
        <v>393</v>
      </c>
      <c r="C27" s="75"/>
    </row>
    <row r="28" spans="1:3" s="431" customFormat="1" ht="12" customHeight="1">
      <c r="A28" s="425" t="s">
        <v>262</v>
      </c>
      <c r="B28" s="427" t="s">
        <v>396</v>
      </c>
      <c r="C28" s="293"/>
    </row>
    <row r="29" spans="1:3" s="431" customFormat="1" ht="12" customHeight="1" thickBot="1">
      <c r="A29" s="424" t="s">
        <v>263</v>
      </c>
      <c r="B29" s="136" t="s">
        <v>517</v>
      </c>
      <c r="C29" s="82"/>
    </row>
    <row r="30" spans="1:3" s="431" customFormat="1" ht="12" customHeight="1" thickBot="1">
      <c r="A30" s="191" t="s">
        <v>22</v>
      </c>
      <c r="B30" s="119" t="s">
        <v>397</v>
      </c>
      <c r="C30" s="292">
        <f>+C31+C32+C33</f>
        <v>0</v>
      </c>
    </row>
    <row r="31" spans="1:3" s="431" customFormat="1" ht="12" customHeight="1">
      <c r="A31" s="425" t="s">
        <v>91</v>
      </c>
      <c r="B31" s="426" t="s">
        <v>282</v>
      </c>
      <c r="C31" s="75"/>
    </row>
    <row r="32" spans="1:3" s="431" customFormat="1" ht="12" customHeight="1">
      <c r="A32" s="425" t="s">
        <v>92</v>
      </c>
      <c r="B32" s="427" t="s">
        <v>283</v>
      </c>
      <c r="C32" s="293"/>
    </row>
    <row r="33" spans="1:3" s="431" customFormat="1" ht="12" customHeight="1" thickBot="1">
      <c r="A33" s="424" t="s">
        <v>93</v>
      </c>
      <c r="B33" s="136" t="s">
        <v>284</v>
      </c>
      <c r="C33" s="82"/>
    </row>
    <row r="34" spans="1:3" s="343" customFormat="1" ht="12" customHeight="1" thickBot="1">
      <c r="A34" s="191" t="s">
        <v>23</v>
      </c>
      <c r="B34" s="119" t="s">
        <v>367</v>
      </c>
      <c r="C34" s="318"/>
    </row>
    <row r="35" spans="1:3" s="343" customFormat="1" ht="12" customHeight="1" thickBot="1">
      <c r="A35" s="191" t="s">
        <v>24</v>
      </c>
      <c r="B35" s="119" t="s">
        <v>398</v>
      </c>
      <c r="C35" s="335"/>
    </row>
    <row r="36" spans="1:3" s="343" customFormat="1" ht="12" customHeight="1" thickBot="1">
      <c r="A36" s="183" t="s">
        <v>25</v>
      </c>
      <c r="B36" s="119" t="s">
        <v>518</v>
      </c>
      <c r="C36" s="336">
        <f>+C8+C20+C25+C26+C30+C34+C35</f>
        <v>5980000</v>
      </c>
    </row>
    <row r="37" spans="1:3" s="343" customFormat="1" ht="12" customHeight="1" thickBot="1">
      <c r="A37" s="212" t="s">
        <v>26</v>
      </c>
      <c r="B37" s="119" t="s">
        <v>400</v>
      </c>
      <c r="C37" s="336">
        <f>+C38+C39+C40</f>
        <v>0</v>
      </c>
    </row>
    <row r="38" spans="1:3" s="343" customFormat="1" ht="12" customHeight="1">
      <c r="A38" s="425" t="s">
        <v>401</v>
      </c>
      <c r="B38" s="426" t="s">
        <v>229</v>
      </c>
      <c r="C38" s="75"/>
    </row>
    <row r="39" spans="1:3" s="343" customFormat="1" ht="12" customHeight="1">
      <c r="A39" s="425" t="s">
        <v>402</v>
      </c>
      <c r="B39" s="427" t="s">
        <v>2</v>
      </c>
      <c r="C39" s="293"/>
    </row>
    <row r="40" spans="1:3" s="431" customFormat="1" ht="12" customHeight="1" thickBot="1">
      <c r="A40" s="424" t="s">
        <v>403</v>
      </c>
      <c r="B40" s="136" t="s">
        <v>404</v>
      </c>
      <c r="C40" s="82"/>
    </row>
    <row r="41" spans="1:3" s="431" customFormat="1" ht="15" customHeight="1" thickBot="1">
      <c r="A41" s="212" t="s">
        <v>27</v>
      </c>
      <c r="B41" s="213" t="s">
        <v>405</v>
      </c>
      <c r="C41" s="339">
        <f>+C36+C37</f>
        <v>5980000</v>
      </c>
    </row>
    <row r="42" spans="1:3" s="431" customFormat="1" ht="15" customHeight="1">
      <c r="A42" s="214"/>
      <c r="B42" s="215"/>
      <c r="C42" s="337"/>
    </row>
    <row r="43" spans="1:3" ht="13.5" thickBot="1">
      <c r="A43" s="216"/>
      <c r="B43" s="217"/>
      <c r="C43" s="338"/>
    </row>
    <row r="44" spans="1:3" s="430" customFormat="1" ht="16.5" customHeight="1" thickBot="1">
      <c r="A44" s="218"/>
      <c r="B44" s="219" t="s">
        <v>57</v>
      </c>
      <c r="C44" s="339"/>
    </row>
    <row r="45" spans="1:3" s="432" customFormat="1" ht="12" customHeight="1" thickBot="1">
      <c r="A45" s="191" t="s">
        <v>18</v>
      </c>
      <c r="B45" s="119" t="s">
        <v>406</v>
      </c>
      <c r="C45" s="292">
        <f>SUM(C46:C50)</f>
        <v>3666500</v>
      </c>
    </row>
    <row r="46" spans="1:3" ht="12" customHeight="1">
      <c r="A46" s="424" t="s">
        <v>98</v>
      </c>
      <c r="B46" s="9" t="s">
        <v>49</v>
      </c>
      <c r="C46" s="75"/>
    </row>
    <row r="47" spans="1:3" ht="12" customHeight="1">
      <c r="A47" s="424" t="s">
        <v>99</v>
      </c>
      <c r="B47" s="8" t="s">
        <v>181</v>
      </c>
      <c r="C47" s="78"/>
    </row>
    <row r="48" spans="1:3" ht="12" customHeight="1">
      <c r="A48" s="424" t="s">
        <v>100</v>
      </c>
      <c r="B48" s="8" t="s">
        <v>138</v>
      </c>
      <c r="C48" s="78">
        <v>3666500</v>
      </c>
    </row>
    <row r="49" spans="1:3" ht="12" customHeight="1">
      <c r="A49" s="424" t="s">
        <v>101</v>
      </c>
      <c r="B49" s="8" t="s">
        <v>182</v>
      </c>
      <c r="C49" s="78"/>
    </row>
    <row r="50" spans="1:3" ht="12" customHeight="1" thickBot="1">
      <c r="A50" s="424" t="s">
        <v>146</v>
      </c>
      <c r="B50" s="8" t="s">
        <v>183</v>
      </c>
      <c r="C50" s="78"/>
    </row>
    <row r="51" spans="1:3" ht="12" customHeight="1" thickBot="1">
      <c r="A51" s="191" t="s">
        <v>19</v>
      </c>
      <c r="B51" s="119" t="s">
        <v>407</v>
      </c>
      <c r="C51" s="292">
        <f>SUM(C52:C54)</f>
        <v>0</v>
      </c>
    </row>
    <row r="52" spans="1:3" s="432" customFormat="1" ht="12" customHeight="1">
      <c r="A52" s="424" t="s">
        <v>104</v>
      </c>
      <c r="B52" s="9" t="s">
        <v>223</v>
      </c>
      <c r="C52" s="75"/>
    </row>
    <row r="53" spans="1:3" ht="12" customHeight="1">
      <c r="A53" s="424" t="s">
        <v>105</v>
      </c>
      <c r="B53" s="8" t="s">
        <v>185</v>
      </c>
      <c r="C53" s="78"/>
    </row>
    <row r="54" spans="1:3" ht="12" customHeight="1">
      <c r="A54" s="424" t="s">
        <v>106</v>
      </c>
      <c r="B54" s="8" t="s">
        <v>58</v>
      </c>
      <c r="C54" s="78"/>
    </row>
    <row r="55" spans="1:3" ht="12" customHeight="1" thickBot="1">
      <c r="A55" s="424" t="s">
        <v>107</v>
      </c>
      <c r="B55" s="8" t="s">
        <v>515</v>
      </c>
      <c r="C55" s="78"/>
    </row>
    <row r="56" spans="1:3" ht="15" customHeight="1" thickBot="1">
      <c r="A56" s="191" t="s">
        <v>20</v>
      </c>
      <c r="B56" s="119" t="s">
        <v>13</v>
      </c>
      <c r="C56" s="318"/>
    </row>
    <row r="57" spans="1:3" ht="13.5" thickBot="1">
      <c r="A57" s="191" t="s">
        <v>21</v>
      </c>
      <c r="B57" s="220" t="s">
        <v>520</v>
      </c>
      <c r="C57" s="340">
        <f>+C45+C51+C56</f>
        <v>3666500</v>
      </c>
    </row>
    <row r="58" ht="15" customHeight="1" thickBot="1">
      <c r="C58" s="594"/>
    </row>
    <row r="59" spans="1:3" ht="14.25" customHeight="1" thickBot="1">
      <c r="A59" s="223" t="s">
        <v>510</v>
      </c>
      <c r="B59" s="224"/>
      <c r="C59" s="116">
        <v>0</v>
      </c>
    </row>
    <row r="60" spans="1:3" ht="13.5" thickBot="1">
      <c r="A60" s="223" t="s">
        <v>202</v>
      </c>
      <c r="B60" s="224"/>
      <c r="C60" s="116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C60"/>
  <sheetViews>
    <sheetView zoomScale="120" zoomScaleNormal="120" workbookViewId="0" topLeftCell="A23">
      <selection activeCell="B60" sqref="B60"/>
    </sheetView>
  </sheetViews>
  <sheetFormatPr defaultColWidth="9.00390625" defaultRowHeight="12.75"/>
  <cols>
    <col min="1" max="1" width="13.875" style="221" customWidth="1"/>
    <col min="2" max="2" width="79.125" style="222" customWidth="1"/>
    <col min="3" max="3" width="25.00390625" style="222" customWidth="1"/>
    <col min="4" max="16384" width="9.375" style="222" customWidth="1"/>
  </cols>
  <sheetData>
    <row r="1" spans="1:3" s="202" customFormat="1" ht="21" customHeight="1" thickBot="1">
      <c r="A1" s="564"/>
      <c r="B1" s="565"/>
      <c r="C1" s="561" t="str">
        <f>CONCATENATE(ALAPADATOK!P13,"3. melléklet ",ALAPADATOK!A7," ",ALAPADATOK!B7," ",ALAPADATOK!C7," ",ALAPADATOK!D7," ",ALAPADATOK!E7," ",ALAPADATOK!F7," ",ALAPADATOK!G7," ",ALAPADATOK!H7)</f>
        <v>9.3.3. melléklet a … / 2021 ( … ) önkormányzati rendelethez</v>
      </c>
    </row>
    <row r="2" spans="1:3" s="428" customFormat="1" ht="36">
      <c r="A2" s="566" t="s">
        <v>200</v>
      </c>
      <c r="B2" s="567" t="str">
        <f>CONCATENATE('KV_9.3.2.sz.mell'!B2)</f>
        <v>Apáczai Csere János Művelődési Ház és Könyvtár</v>
      </c>
      <c r="C2" s="587" t="s">
        <v>60</v>
      </c>
    </row>
    <row r="3" spans="1:3" s="428" customFormat="1" ht="24.75" thickBot="1">
      <c r="A3" s="588" t="s">
        <v>199</v>
      </c>
      <c r="B3" s="570" t="s">
        <v>521</v>
      </c>
      <c r="C3" s="589" t="s">
        <v>422</v>
      </c>
    </row>
    <row r="4" spans="1:3" s="429" customFormat="1" ht="15.75" customHeight="1" thickBot="1">
      <c r="A4" s="572"/>
      <c r="B4" s="572"/>
      <c r="C4" s="573" t="str">
        <f>'KV_9.3.2.sz.mell'!C4</f>
        <v>Forintban!</v>
      </c>
    </row>
    <row r="5" spans="1:3" ht="13.5" thickBot="1">
      <c r="A5" s="382" t="s">
        <v>201</v>
      </c>
      <c r="B5" s="206" t="s">
        <v>553</v>
      </c>
      <c r="C5" s="523" t="s">
        <v>55</v>
      </c>
    </row>
    <row r="6" spans="1:3" s="430" customFormat="1" ht="12.75" customHeight="1" thickBot="1">
      <c r="A6" s="183"/>
      <c r="B6" s="184" t="s">
        <v>484</v>
      </c>
      <c r="C6" s="185" t="s">
        <v>485</v>
      </c>
    </row>
    <row r="7" spans="1:3" s="430" customFormat="1" ht="15.75" customHeight="1" thickBot="1">
      <c r="A7" s="208"/>
      <c r="B7" s="209" t="s">
        <v>56</v>
      </c>
      <c r="C7" s="210"/>
    </row>
    <row r="8" spans="1:3" s="343" customFormat="1" ht="12" customHeight="1" thickBot="1">
      <c r="A8" s="183" t="s">
        <v>18</v>
      </c>
      <c r="B8" s="211" t="s">
        <v>511</v>
      </c>
      <c r="C8" s="292">
        <f>SUM(C9:C19)</f>
        <v>0</v>
      </c>
    </row>
    <row r="9" spans="1:3" s="343" customFormat="1" ht="12" customHeight="1">
      <c r="A9" s="423" t="s">
        <v>98</v>
      </c>
      <c r="B9" s="10" t="s">
        <v>268</v>
      </c>
      <c r="C9" s="333"/>
    </row>
    <row r="10" spans="1:3" s="343" customFormat="1" ht="12" customHeight="1">
      <c r="A10" s="424" t="s">
        <v>99</v>
      </c>
      <c r="B10" s="8" t="s">
        <v>269</v>
      </c>
      <c r="C10" s="290"/>
    </row>
    <row r="11" spans="1:3" s="343" customFormat="1" ht="12" customHeight="1">
      <c r="A11" s="424" t="s">
        <v>100</v>
      </c>
      <c r="B11" s="8" t="s">
        <v>270</v>
      </c>
      <c r="C11" s="290"/>
    </row>
    <row r="12" spans="1:3" s="343" customFormat="1" ht="12" customHeight="1">
      <c r="A12" s="424" t="s">
        <v>101</v>
      </c>
      <c r="B12" s="8" t="s">
        <v>271</v>
      </c>
      <c r="C12" s="290"/>
    </row>
    <row r="13" spans="1:3" s="343" customFormat="1" ht="12" customHeight="1">
      <c r="A13" s="424" t="s">
        <v>146</v>
      </c>
      <c r="B13" s="8" t="s">
        <v>272</v>
      </c>
      <c r="C13" s="290"/>
    </row>
    <row r="14" spans="1:3" s="343" customFormat="1" ht="12" customHeight="1">
      <c r="A14" s="424" t="s">
        <v>102</v>
      </c>
      <c r="B14" s="8" t="s">
        <v>390</v>
      </c>
      <c r="C14" s="290"/>
    </row>
    <row r="15" spans="1:3" s="343" customFormat="1" ht="12" customHeight="1">
      <c r="A15" s="424" t="s">
        <v>103</v>
      </c>
      <c r="B15" s="7" t="s">
        <v>391</v>
      </c>
      <c r="C15" s="290"/>
    </row>
    <row r="16" spans="1:3" s="343" customFormat="1" ht="12" customHeight="1">
      <c r="A16" s="424" t="s">
        <v>113</v>
      </c>
      <c r="B16" s="8" t="s">
        <v>275</v>
      </c>
      <c r="C16" s="334"/>
    </row>
    <row r="17" spans="1:3" s="431" customFormat="1" ht="12" customHeight="1">
      <c r="A17" s="424" t="s">
        <v>114</v>
      </c>
      <c r="B17" s="8" t="s">
        <v>276</v>
      </c>
      <c r="C17" s="290"/>
    </row>
    <row r="18" spans="1:3" s="431" customFormat="1" ht="12" customHeight="1">
      <c r="A18" s="424" t="s">
        <v>115</v>
      </c>
      <c r="B18" s="8" t="s">
        <v>427</v>
      </c>
      <c r="C18" s="291"/>
    </row>
    <row r="19" spans="1:3" s="431" customFormat="1" ht="12" customHeight="1" thickBot="1">
      <c r="A19" s="424" t="s">
        <v>116</v>
      </c>
      <c r="B19" s="7" t="s">
        <v>277</v>
      </c>
      <c r="C19" s="291"/>
    </row>
    <row r="20" spans="1:3" s="343" customFormat="1" ht="12" customHeight="1" thickBot="1">
      <c r="A20" s="183" t="s">
        <v>19</v>
      </c>
      <c r="B20" s="211" t="s">
        <v>392</v>
      </c>
      <c r="C20" s="292">
        <f>SUM(C21:C23)</f>
        <v>0</v>
      </c>
    </row>
    <row r="21" spans="1:3" s="431" customFormat="1" ht="12" customHeight="1">
      <c r="A21" s="424" t="s">
        <v>104</v>
      </c>
      <c r="B21" s="9" t="s">
        <v>251</v>
      </c>
      <c r="C21" s="290"/>
    </row>
    <row r="22" spans="1:3" s="431" customFormat="1" ht="12" customHeight="1">
      <c r="A22" s="424" t="s">
        <v>105</v>
      </c>
      <c r="B22" s="8" t="s">
        <v>393</v>
      </c>
      <c r="C22" s="290"/>
    </row>
    <row r="23" spans="1:3" s="431" customFormat="1" ht="12" customHeight="1">
      <c r="A23" s="424" t="s">
        <v>106</v>
      </c>
      <c r="B23" s="8" t="s">
        <v>394</v>
      </c>
      <c r="C23" s="290"/>
    </row>
    <row r="24" spans="1:3" s="431" customFormat="1" ht="12" customHeight="1" thickBot="1">
      <c r="A24" s="424" t="s">
        <v>107</v>
      </c>
      <c r="B24" s="8" t="s">
        <v>516</v>
      </c>
      <c r="C24" s="290"/>
    </row>
    <row r="25" spans="1:3" s="431" customFormat="1" ht="12" customHeight="1" thickBot="1">
      <c r="A25" s="191" t="s">
        <v>20</v>
      </c>
      <c r="B25" s="119" t="s">
        <v>172</v>
      </c>
      <c r="C25" s="318"/>
    </row>
    <row r="26" spans="1:3" s="431" customFormat="1" ht="12" customHeight="1" thickBot="1">
      <c r="A26" s="191" t="s">
        <v>21</v>
      </c>
      <c r="B26" s="119" t="s">
        <v>395</v>
      </c>
      <c r="C26" s="292">
        <f>+C27+C28</f>
        <v>0</v>
      </c>
    </row>
    <row r="27" spans="1:3" s="431" customFormat="1" ht="12" customHeight="1">
      <c r="A27" s="425" t="s">
        <v>261</v>
      </c>
      <c r="B27" s="426" t="s">
        <v>393</v>
      </c>
      <c r="C27" s="75"/>
    </row>
    <row r="28" spans="1:3" s="431" customFormat="1" ht="12" customHeight="1">
      <c r="A28" s="425" t="s">
        <v>262</v>
      </c>
      <c r="B28" s="427" t="s">
        <v>396</v>
      </c>
      <c r="C28" s="293"/>
    </row>
    <row r="29" spans="1:3" s="431" customFormat="1" ht="12" customHeight="1" thickBot="1">
      <c r="A29" s="424" t="s">
        <v>263</v>
      </c>
      <c r="B29" s="136" t="s">
        <v>517</v>
      </c>
      <c r="C29" s="82"/>
    </row>
    <row r="30" spans="1:3" s="431" customFormat="1" ht="12" customHeight="1" thickBot="1">
      <c r="A30" s="191" t="s">
        <v>22</v>
      </c>
      <c r="B30" s="119" t="s">
        <v>397</v>
      </c>
      <c r="C30" s="292">
        <f>+C31+C32+C33</f>
        <v>0</v>
      </c>
    </row>
    <row r="31" spans="1:3" s="431" customFormat="1" ht="12" customHeight="1">
      <c r="A31" s="425" t="s">
        <v>91</v>
      </c>
      <c r="B31" s="426" t="s">
        <v>282</v>
      </c>
      <c r="C31" s="75"/>
    </row>
    <row r="32" spans="1:3" s="431" customFormat="1" ht="12" customHeight="1">
      <c r="A32" s="425" t="s">
        <v>92</v>
      </c>
      <c r="B32" s="427" t="s">
        <v>283</v>
      </c>
      <c r="C32" s="293"/>
    </row>
    <row r="33" spans="1:3" s="431" customFormat="1" ht="12" customHeight="1" thickBot="1">
      <c r="A33" s="424" t="s">
        <v>93</v>
      </c>
      <c r="B33" s="136" t="s">
        <v>284</v>
      </c>
      <c r="C33" s="82"/>
    </row>
    <row r="34" spans="1:3" s="343" customFormat="1" ht="12" customHeight="1" thickBot="1">
      <c r="A34" s="191" t="s">
        <v>23</v>
      </c>
      <c r="B34" s="119" t="s">
        <v>367</v>
      </c>
      <c r="C34" s="318"/>
    </row>
    <row r="35" spans="1:3" s="343" customFormat="1" ht="12" customHeight="1" thickBot="1">
      <c r="A35" s="191" t="s">
        <v>24</v>
      </c>
      <c r="B35" s="119" t="s">
        <v>398</v>
      </c>
      <c r="C35" s="335"/>
    </row>
    <row r="36" spans="1:3" s="343" customFormat="1" ht="12" customHeight="1" thickBot="1">
      <c r="A36" s="183" t="s">
        <v>25</v>
      </c>
      <c r="B36" s="119" t="s">
        <v>518</v>
      </c>
      <c r="C36" s="336">
        <f>+C8+C20+C25+C26+C30+C34+C35</f>
        <v>0</v>
      </c>
    </row>
    <row r="37" spans="1:3" s="343" customFormat="1" ht="12" customHeight="1" thickBot="1">
      <c r="A37" s="212" t="s">
        <v>26</v>
      </c>
      <c r="B37" s="119" t="s">
        <v>400</v>
      </c>
      <c r="C37" s="336">
        <f>+C38+C39+C40</f>
        <v>0</v>
      </c>
    </row>
    <row r="38" spans="1:3" s="343" customFormat="1" ht="12" customHeight="1">
      <c r="A38" s="425" t="s">
        <v>401</v>
      </c>
      <c r="B38" s="426" t="s">
        <v>229</v>
      </c>
      <c r="C38" s="75"/>
    </row>
    <row r="39" spans="1:3" s="343" customFormat="1" ht="12" customHeight="1">
      <c r="A39" s="425" t="s">
        <v>402</v>
      </c>
      <c r="B39" s="427" t="s">
        <v>2</v>
      </c>
      <c r="C39" s="293"/>
    </row>
    <row r="40" spans="1:3" s="431" customFormat="1" ht="12" customHeight="1" thickBot="1">
      <c r="A40" s="424" t="s">
        <v>403</v>
      </c>
      <c r="B40" s="136" t="s">
        <v>404</v>
      </c>
      <c r="C40" s="82"/>
    </row>
    <row r="41" spans="1:3" s="431" customFormat="1" ht="15" customHeight="1" thickBot="1">
      <c r="A41" s="212" t="s">
        <v>27</v>
      </c>
      <c r="B41" s="213" t="s">
        <v>405</v>
      </c>
      <c r="C41" s="339">
        <f>+C36+C37</f>
        <v>0</v>
      </c>
    </row>
    <row r="42" spans="1:3" s="431" customFormat="1" ht="15" customHeight="1">
      <c r="A42" s="214"/>
      <c r="B42" s="215"/>
      <c r="C42" s="337"/>
    </row>
    <row r="43" spans="1:3" ht="13.5" thickBot="1">
      <c r="A43" s="216"/>
      <c r="B43" s="217"/>
      <c r="C43" s="338"/>
    </row>
    <row r="44" spans="1:3" s="430" customFormat="1" ht="16.5" customHeight="1" thickBot="1">
      <c r="A44" s="218"/>
      <c r="B44" s="219" t="s">
        <v>57</v>
      </c>
      <c r="C44" s="339"/>
    </row>
    <row r="45" spans="1:3" s="432" customFormat="1" ht="12" customHeight="1" thickBot="1">
      <c r="A45" s="191" t="s">
        <v>18</v>
      </c>
      <c r="B45" s="119" t="s">
        <v>406</v>
      </c>
      <c r="C45" s="292">
        <f>SUM(C46:C50)</f>
        <v>0</v>
      </c>
    </row>
    <row r="46" spans="1:3" ht="12" customHeight="1">
      <c r="A46" s="424" t="s">
        <v>98</v>
      </c>
      <c r="B46" s="9" t="s">
        <v>49</v>
      </c>
      <c r="C46" s="75"/>
    </row>
    <row r="47" spans="1:3" ht="12" customHeight="1">
      <c r="A47" s="424" t="s">
        <v>99</v>
      </c>
      <c r="B47" s="8" t="s">
        <v>181</v>
      </c>
      <c r="C47" s="78"/>
    </row>
    <row r="48" spans="1:3" ht="12" customHeight="1">
      <c r="A48" s="424" t="s">
        <v>100</v>
      </c>
      <c r="B48" s="8" t="s">
        <v>138</v>
      </c>
      <c r="C48" s="78"/>
    </row>
    <row r="49" spans="1:3" ht="12" customHeight="1">
      <c r="A49" s="424" t="s">
        <v>101</v>
      </c>
      <c r="B49" s="8" t="s">
        <v>182</v>
      </c>
      <c r="C49" s="78"/>
    </row>
    <row r="50" spans="1:3" ht="12" customHeight="1" thickBot="1">
      <c r="A50" s="424" t="s">
        <v>146</v>
      </c>
      <c r="B50" s="8" t="s">
        <v>183</v>
      </c>
      <c r="C50" s="78"/>
    </row>
    <row r="51" spans="1:3" ht="12" customHeight="1" thickBot="1">
      <c r="A51" s="191" t="s">
        <v>19</v>
      </c>
      <c r="B51" s="119" t="s">
        <v>407</v>
      </c>
      <c r="C51" s="292">
        <f>SUM(C52:C54)</f>
        <v>0</v>
      </c>
    </row>
    <row r="52" spans="1:3" s="432" customFormat="1" ht="12" customHeight="1">
      <c r="A52" s="424" t="s">
        <v>104</v>
      </c>
      <c r="B52" s="9" t="s">
        <v>223</v>
      </c>
      <c r="C52" s="75"/>
    </row>
    <row r="53" spans="1:3" ht="12" customHeight="1">
      <c r="A53" s="424" t="s">
        <v>105</v>
      </c>
      <c r="B53" s="8" t="s">
        <v>185</v>
      </c>
      <c r="C53" s="78"/>
    </row>
    <row r="54" spans="1:3" ht="12" customHeight="1">
      <c r="A54" s="424" t="s">
        <v>106</v>
      </c>
      <c r="B54" s="8" t="s">
        <v>58</v>
      </c>
      <c r="C54" s="78"/>
    </row>
    <row r="55" spans="1:3" ht="12" customHeight="1" thickBot="1">
      <c r="A55" s="424" t="s">
        <v>107</v>
      </c>
      <c r="B55" s="8" t="s">
        <v>515</v>
      </c>
      <c r="C55" s="78"/>
    </row>
    <row r="56" spans="1:3" ht="15" customHeight="1" thickBot="1">
      <c r="A56" s="191" t="s">
        <v>20</v>
      </c>
      <c r="B56" s="119" t="s">
        <v>13</v>
      </c>
      <c r="C56" s="318"/>
    </row>
    <row r="57" spans="1:3" ht="13.5" thickBot="1">
      <c r="A57" s="191" t="s">
        <v>21</v>
      </c>
      <c r="B57" s="220" t="s">
        <v>520</v>
      </c>
      <c r="C57" s="340">
        <f>+C45+C51+C56</f>
        <v>0</v>
      </c>
    </row>
    <row r="58" ht="15" customHeight="1" thickBot="1">
      <c r="C58" s="594">
        <f>C41-C57</f>
        <v>0</v>
      </c>
    </row>
    <row r="59" spans="1:3" ht="14.25" customHeight="1" thickBot="1">
      <c r="A59" s="223" t="s">
        <v>510</v>
      </c>
      <c r="B59" s="224"/>
      <c r="C59" s="116">
        <v>0</v>
      </c>
    </row>
    <row r="60" spans="1:3" ht="13.5" thickBot="1">
      <c r="A60" s="223" t="s">
        <v>202</v>
      </c>
      <c r="B60" s="224"/>
      <c r="C60" s="116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5.75">
      <c r="A2" s="595" t="s">
        <v>149</v>
      </c>
    </row>
    <row r="4" spans="1:2" ht="12.75">
      <c r="A4" s="131"/>
      <c r="B4" s="131"/>
    </row>
    <row r="5" spans="1:2" s="142" customFormat="1" ht="15.75">
      <c r="A5" s="85" t="str">
        <f>CONCATENATE(ALAPADATOK!D7,". évi előirányzat BEVÉTELEK")</f>
        <v>2021. évi előirányzat BEVÉTELEK</v>
      </c>
      <c r="B5" s="141"/>
    </row>
    <row r="6" spans="1:2" ht="12.75">
      <c r="A6" s="131"/>
      <c r="B6" s="131"/>
    </row>
    <row r="7" spans="1:2" ht="12.75">
      <c r="A7" s="131" t="s">
        <v>535</v>
      </c>
      <c r="B7" s="131" t="s">
        <v>478</v>
      </c>
    </row>
    <row r="8" spans="1:2" ht="12.75">
      <c r="A8" s="131" t="s">
        <v>536</v>
      </c>
      <c r="B8" s="131" t="s">
        <v>479</v>
      </c>
    </row>
    <row r="9" spans="1:2" ht="12.75">
      <c r="A9" s="131" t="s">
        <v>537</v>
      </c>
      <c r="B9" s="131" t="s">
        <v>480</v>
      </c>
    </row>
    <row r="10" spans="1:2" ht="12.75">
      <c r="A10" s="131"/>
      <c r="B10" s="131"/>
    </row>
    <row r="11" spans="1:2" ht="12.75">
      <c r="A11" s="131"/>
      <c r="B11" s="131"/>
    </row>
    <row r="12" spans="1:2" s="142" customFormat="1" ht="15.75">
      <c r="A12" s="85" t="str">
        <f>+CONCATENATE(LEFT(A5,4),". évi előirányzat KIADÁSOK")</f>
        <v>2021. évi előirányzat KIADÁSOK</v>
      </c>
      <c r="B12" s="141"/>
    </row>
    <row r="13" spans="1:2" ht="12.75">
      <c r="A13" s="131"/>
      <c r="B13" s="131"/>
    </row>
    <row r="14" spans="1:2" ht="12.75">
      <c r="A14" s="131" t="s">
        <v>538</v>
      </c>
      <c r="B14" s="131" t="s">
        <v>481</v>
      </c>
    </row>
    <row r="15" spans="1:2" ht="12.75">
      <c r="A15" s="131" t="s">
        <v>539</v>
      </c>
      <c r="B15" s="131" t="s">
        <v>482</v>
      </c>
    </row>
    <row r="16" spans="1:2" ht="12.75">
      <c r="A16" s="131" t="s">
        <v>540</v>
      </c>
      <c r="B16" s="131" t="s">
        <v>483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C60"/>
  <sheetViews>
    <sheetView zoomScale="120" zoomScaleNormal="120" workbookViewId="0" topLeftCell="A23">
      <selection activeCell="C52" sqref="C52:C53"/>
    </sheetView>
  </sheetViews>
  <sheetFormatPr defaultColWidth="9.00390625" defaultRowHeight="12.75"/>
  <cols>
    <col min="1" max="1" width="13.875" style="221" customWidth="1"/>
    <col min="2" max="2" width="79.125" style="222" customWidth="1"/>
    <col min="3" max="3" width="25.00390625" style="222" customWidth="1"/>
    <col min="4" max="16384" width="9.375" style="222" customWidth="1"/>
  </cols>
  <sheetData>
    <row r="1" spans="1:3" s="202" customFormat="1" ht="21" customHeight="1" thickBot="1">
      <c r="A1" s="201"/>
      <c r="B1" s="203"/>
      <c r="C1" s="561" t="str">
        <f>CONCATENATE(ALAPADATOK!P15," melléklet ",ALAPADATOK!A7," ",ALAPADATOK!B7," ",ALAPADATOK!C7," ",ALAPADATOK!D7," ",ALAPADATOK!E7," ",ALAPADATOK!F7," ",ALAPADATOK!G7," ",ALAPADATOK!H7)</f>
        <v>9.4. melléklet a … / 2021 ( … ) önkormányzati rendelethez</v>
      </c>
    </row>
    <row r="2" spans="1:3" s="428" customFormat="1" ht="36">
      <c r="A2" s="381" t="s">
        <v>200</v>
      </c>
      <c r="B2" s="559" t="str">
        <f>CONCATENATE(ALAPADATOK!B15)</f>
        <v>Ezüstkor Szociális Gondozó Központ</v>
      </c>
      <c r="C2" s="341" t="s">
        <v>422</v>
      </c>
    </row>
    <row r="3" spans="1:3" s="428" customFormat="1" ht="24.75" thickBot="1">
      <c r="A3" s="422" t="s">
        <v>199</v>
      </c>
      <c r="B3" s="560" t="s">
        <v>389</v>
      </c>
      <c r="C3" s="342" t="s">
        <v>54</v>
      </c>
    </row>
    <row r="4" spans="1:3" s="429" customFormat="1" ht="15.75" customHeight="1" thickBot="1">
      <c r="A4" s="204"/>
      <c r="B4" s="204"/>
      <c r="C4" s="205" t="str">
        <f>'KV_9.2.3.sz.mell'!C4</f>
        <v>Forintban!</v>
      </c>
    </row>
    <row r="5" spans="1:3" ht="13.5" thickBot="1">
      <c r="A5" s="382" t="s">
        <v>201</v>
      </c>
      <c r="B5" s="206" t="s">
        <v>553</v>
      </c>
      <c r="C5" s="207" t="s">
        <v>55</v>
      </c>
    </row>
    <row r="6" spans="1:3" s="430" customFormat="1" ht="12.75" customHeight="1" thickBot="1">
      <c r="A6" s="183"/>
      <c r="B6" s="184" t="s">
        <v>484</v>
      </c>
      <c r="C6" s="185" t="s">
        <v>485</v>
      </c>
    </row>
    <row r="7" spans="1:3" s="430" customFormat="1" ht="15.75" customHeight="1" thickBot="1">
      <c r="A7" s="208"/>
      <c r="B7" s="209" t="s">
        <v>56</v>
      </c>
      <c r="C7" s="210"/>
    </row>
    <row r="8" spans="1:3" s="343" customFormat="1" ht="12" customHeight="1" thickBot="1">
      <c r="A8" s="183" t="s">
        <v>18</v>
      </c>
      <c r="B8" s="211" t="s">
        <v>511</v>
      </c>
      <c r="C8" s="292">
        <f>SUM(C9:C19)</f>
        <v>2481840</v>
      </c>
    </row>
    <row r="9" spans="1:3" s="343" customFormat="1" ht="12" customHeight="1">
      <c r="A9" s="423" t="s">
        <v>98</v>
      </c>
      <c r="B9" s="10" t="s">
        <v>268</v>
      </c>
      <c r="C9" s="333"/>
    </row>
    <row r="10" spans="1:3" s="343" customFormat="1" ht="12" customHeight="1">
      <c r="A10" s="424" t="s">
        <v>99</v>
      </c>
      <c r="B10" s="8" t="s">
        <v>269</v>
      </c>
      <c r="C10" s="290"/>
    </row>
    <row r="11" spans="1:3" s="343" customFormat="1" ht="12" customHeight="1">
      <c r="A11" s="424" t="s">
        <v>100</v>
      </c>
      <c r="B11" s="8" t="s">
        <v>270</v>
      </c>
      <c r="C11" s="290"/>
    </row>
    <row r="12" spans="1:3" s="343" customFormat="1" ht="12" customHeight="1">
      <c r="A12" s="424" t="s">
        <v>101</v>
      </c>
      <c r="B12" s="8" t="s">
        <v>271</v>
      </c>
      <c r="C12" s="290"/>
    </row>
    <row r="13" spans="1:3" s="343" customFormat="1" ht="12" customHeight="1">
      <c r="A13" s="424" t="s">
        <v>146</v>
      </c>
      <c r="B13" s="8" t="s">
        <v>272</v>
      </c>
      <c r="C13" s="290">
        <v>2481840</v>
      </c>
    </row>
    <row r="14" spans="1:3" s="343" customFormat="1" ht="12" customHeight="1">
      <c r="A14" s="424" t="s">
        <v>102</v>
      </c>
      <c r="B14" s="8" t="s">
        <v>390</v>
      </c>
      <c r="C14" s="290"/>
    </row>
    <row r="15" spans="1:3" s="343" customFormat="1" ht="12" customHeight="1">
      <c r="A15" s="424" t="s">
        <v>103</v>
      </c>
      <c r="B15" s="7" t="s">
        <v>391</v>
      </c>
      <c r="C15" s="290"/>
    </row>
    <row r="16" spans="1:3" s="343" customFormat="1" ht="12" customHeight="1">
      <c r="A16" s="424" t="s">
        <v>113</v>
      </c>
      <c r="B16" s="8" t="s">
        <v>275</v>
      </c>
      <c r="C16" s="334"/>
    </row>
    <row r="17" spans="1:3" s="431" customFormat="1" ht="12" customHeight="1">
      <c r="A17" s="424" t="s">
        <v>114</v>
      </c>
      <c r="B17" s="8" t="s">
        <v>276</v>
      </c>
      <c r="C17" s="290"/>
    </row>
    <row r="18" spans="1:3" s="431" customFormat="1" ht="12" customHeight="1">
      <c r="A18" s="424" t="s">
        <v>115</v>
      </c>
      <c r="B18" s="8" t="s">
        <v>427</v>
      </c>
      <c r="C18" s="291"/>
    </row>
    <row r="19" spans="1:3" s="431" customFormat="1" ht="12" customHeight="1" thickBot="1">
      <c r="A19" s="424" t="s">
        <v>116</v>
      </c>
      <c r="B19" s="7" t="s">
        <v>277</v>
      </c>
      <c r="C19" s="291"/>
    </row>
    <row r="20" spans="1:3" s="343" customFormat="1" ht="12" customHeight="1" thickBot="1">
      <c r="A20" s="183" t="s">
        <v>19</v>
      </c>
      <c r="B20" s="211" t="s">
        <v>392</v>
      </c>
      <c r="C20" s="292">
        <f>SUM(C21:C23)</f>
        <v>0</v>
      </c>
    </row>
    <row r="21" spans="1:3" s="431" customFormat="1" ht="12" customHeight="1">
      <c r="A21" s="424" t="s">
        <v>104</v>
      </c>
      <c r="B21" s="9" t="s">
        <v>251</v>
      </c>
      <c r="C21" s="290"/>
    </row>
    <row r="22" spans="1:3" s="431" customFormat="1" ht="12" customHeight="1">
      <c r="A22" s="424" t="s">
        <v>105</v>
      </c>
      <c r="B22" s="8" t="s">
        <v>393</v>
      </c>
      <c r="C22" s="290"/>
    </row>
    <row r="23" spans="1:3" s="431" customFormat="1" ht="12" customHeight="1">
      <c r="A23" s="424" t="s">
        <v>106</v>
      </c>
      <c r="B23" s="8" t="s">
        <v>394</v>
      </c>
      <c r="C23" s="290"/>
    </row>
    <row r="24" spans="1:3" s="431" customFormat="1" ht="12" customHeight="1" thickBot="1">
      <c r="A24" s="424" t="s">
        <v>107</v>
      </c>
      <c r="B24" s="8" t="s">
        <v>516</v>
      </c>
      <c r="C24" s="290"/>
    </row>
    <row r="25" spans="1:3" s="431" customFormat="1" ht="12" customHeight="1" thickBot="1">
      <c r="A25" s="191" t="s">
        <v>20</v>
      </c>
      <c r="B25" s="119" t="s">
        <v>172</v>
      </c>
      <c r="C25" s="318"/>
    </row>
    <row r="26" spans="1:3" s="431" customFormat="1" ht="12" customHeight="1" thickBot="1">
      <c r="A26" s="191" t="s">
        <v>21</v>
      </c>
      <c r="B26" s="119" t="s">
        <v>395</v>
      </c>
      <c r="C26" s="292">
        <f>+C27+C28</f>
        <v>0</v>
      </c>
    </row>
    <row r="27" spans="1:3" s="431" customFormat="1" ht="12" customHeight="1">
      <c r="A27" s="425" t="s">
        <v>261</v>
      </c>
      <c r="B27" s="426" t="s">
        <v>393</v>
      </c>
      <c r="C27" s="75"/>
    </row>
    <row r="28" spans="1:3" s="431" customFormat="1" ht="12" customHeight="1">
      <c r="A28" s="425" t="s">
        <v>262</v>
      </c>
      <c r="B28" s="427" t="s">
        <v>396</v>
      </c>
      <c r="C28" s="293"/>
    </row>
    <row r="29" spans="1:3" s="431" customFormat="1" ht="12" customHeight="1" thickBot="1">
      <c r="A29" s="424" t="s">
        <v>263</v>
      </c>
      <c r="B29" s="136" t="s">
        <v>517</v>
      </c>
      <c r="C29" s="82"/>
    </row>
    <row r="30" spans="1:3" s="431" customFormat="1" ht="12" customHeight="1" thickBot="1">
      <c r="A30" s="191" t="s">
        <v>22</v>
      </c>
      <c r="B30" s="119" t="s">
        <v>397</v>
      </c>
      <c r="C30" s="292">
        <f>+C31+C32+C33</f>
        <v>0</v>
      </c>
    </row>
    <row r="31" spans="1:3" s="431" customFormat="1" ht="12" customHeight="1">
      <c r="A31" s="425" t="s">
        <v>91</v>
      </c>
      <c r="B31" s="426" t="s">
        <v>282</v>
      </c>
      <c r="C31" s="75"/>
    </row>
    <row r="32" spans="1:3" s="431" customFormat="1" ht="12" customHeight="1">
      <c r="A32" s="425" t="s">
        <v>92</v>
      </c>
      <c r="B32" s="427" t="s">
        <v>283</v>
      </c>
      <c r="C32" s="293"/>
    </row>
    <row r="33" spans="1:3" s="431" customFormat="1" ht="12" customHeight="1" thickBot="1">
      <c r="A33" s="424" t="s">
        <v>93</v>
      </c>
      <c r="B33" s="136" t="s">
        <v>284</v>
      </c>
      <c r="C33" s="82"/>
    </row>
    <row r="34" spans="1:3" s="343" customFormat="1" ht="12" customHeight="1" thickBot="1">
      <c r="A34" s="191" t="s">
        <v>23</v>
      </c>
      <c r="B34" s="119" t="s">
        <v>367</v>
      </c>
      <c r="C34" s="318"/>
    </row>
    <row r="35" spans="1:3" s="343" customFormat="1" ht="12" customHeight="1" thickBot="1">
      <c r="A35" s="191" t="s">
        <v>24</v>
      </c>
      <c r="B35" s="119" t="s">
        <v>398</v>
      </c>
      <c r="C35" s="335"/>
    </row>
    <row r="36" spans="1:3" s="343" customFormat="1" ht="12" customHeight="1" thickBot="1">
      <c r="A36" s="183" t="s">
        <v>25</v>
      </c>
      <c r="B36" s="119" t="s">
        <v>518</v>
      </c>
      <c r="C36" s="336">
        <f>+C8+C20+C25+C26+C30+C34+C35</f>
        <v>2481840</v>
      </c>
    </row>
    <row r="37" spans="1:3" s="343" customFormat="1" ht="12" customHeight="1" thickBot="1">
      <c r="A37" s="212" t="s">
        <v>26</v>
      </c>
      <c r="B37" s="119" t="s">
        <v>400</v>
      </c>
      <c r="C37" s="336">
        <f>+C38+C39+C40</f>
        <v>101516012</v>
      </c>
    </row>
    <row r="38" spans="1:3" s="343" customFormat="1" ht="12" customHeight="1">
      <c r="A38" s="425" t="s">
        <v>401</v>
      </c>
      <c r="B38" s="426" t="s">
        <v>229</v>
      </c>
      <c r="C38" s="75">
        <v>311852</v>
      </c>
    </row>
    <row r="39" spans="1:3" s="343" customFormat="1" ht="12" customHeight="1">
      <c r="A39" s="425" t="s">
        <v>402</v>
      </c>
      <c r="B39" s="427" t="s">
        <v>2</v>
      </c>
      <c r="C39" s="293"/>
    </row>
    <row r="40" spans="1:3" s="431" customFormat="1" ht="12" customHeight="1" thickBot="1">
      <c r="A40" s="424" t="s">
        <v>403</v>
      </c>
      <c r="B40" s="136" t="s">
        <v>404</v>
      </c>
      <c r="C40" s="82">
        <v>101204160</v>
      </c>
    </row>
    <row r="41" spans="1:3" s="431" customFormat="1" ht="15" customHeight="1" thickBot="1">
      <c r="A41" s="212" t="s">
        <v>27</v>
      </c>
      <c r="B41" s="213" t="s">
        <v>405</v>
      </c>
      <c r="C41" s="339">
        <f>+C36+C37</f>
        <v>103997852</v>
      </c>
    </row>
    <row r="42" spans="1:3" s="431" customFormat="1" ht="15" customHeight="1">
      <c r="A42" s="214"/>
      <c r="B42" s="215"/>
      <c r="C42" s="337"/>
    </row>
    <row r="43" spans="1:3" ht="13.5" thickBot="1">
      <c r="A43" s="216"/>
      <c r="B43" s="217"/>
      <c r="C43" s="338"/>
    </row>
    <row r="44" spans="1:3" s="430" customFormat="1" ht="16.5" customHeight="1" thickBot="1">
      <c r="A44" s="218"/>
      <c r="B44" s="219" t="s">
        <v>57</v>
      </c>
      <c r="C44" s="339"/>
    </row>
    <row r="45" spans="1:3" s="432" customFormat="1" ht="12" customHeight="1" thickBot="1">
      <c r="A45" s="191" t="s">
        <v>18</v>
      </c>
      <c r="B45" s="119" t="s">
        <v>406</v>
      </c>
      <c r="C45" s="292">
        <f>SUM(C46:C50)</f>
        <v>102688482</v>
      </c>
    </row>
    <row r="46" spans="1:3" ht="12" customHeight="1">
      <c r="A46" s="424" t="s">
        <v>98</v>
      </c>
      <c r="B46" s="9" t="s">
        <v>49</v>
      </c>
      <c r="C46" s="75">
        <v>79639815</v>
      </c>
    </row>
    <row r="47" spans="1:3" ht="12" customHeight="1">
      <c r="A47" s="424" t="s">
        <v>99</v>
      </c>
      <c r="B47" s="8" t="s">
        <v>181</v>
      </c>
      <c r="C47" s="78">
        <v>11956842</v>
      </c>
    </row>
    <row r="48" spans="1:3" ht="12" customHeight="1">
      <c r="A48" s="424" t="s">
        <v>100</v>
      </c>
      <c r="B48" s="8" t="s">
        <v>138</v>
      </c>
      <c r="C48" s="78">
        <v>11091825</v>
      </c>
    </row>
    <row r="49" spans="1:3" ht="12" customHeight="1">
      <c r="A49" s="424" t="s">
        <v>101</v>
      </c>
      <c r="B49" s="8" t="s">
        <v>182</v>
      </c>
      <c r="C49" s="78"/>
    </row>
    <row r="50" spans="1:3" ht="12" customHeight="1" thickBot="1">
      <c r="A50" s="424" t="s">
        <v>146</v>
      </c>
      <c r="B50" s="8" t="s">
        <v>183</v>
      </c>
      <c r="C50" s="78"/>
    </row>
    <row r="51" spans="1:3" ht="12" customHeight="1" thickBot="1">
      <c r="A51" s="191" t="s">
        <v>19</v>
      </c>
      <c r="B51" s="119" t="s">
        <v>407</v>
      </c>
      <c r="C51" s="292">
        <f>SUM(C52:C54)</f>
        <v>1309370</v>
      </c>
    </row>
    <row r="52" spans="1:3" s="432" customFormat="1" ht="12" customHeight="1">
      <c r="A52" s="424" t="s">
        <v>104</v>
      </c>
      <c r="B52" s="9" t="s">
        <v>223</v>
      </c>
      <c r="C52" s="75">
        <v>420370</v>
      </c>
    </row>
    <row r="53" spans="1:3" ht="12" customHeight="1">
      <c r="A53" s="424" t="s">
        <v>105</v>
      </c>
      <c r="B53" s="8" t="s">
        <v>185</v>
      </c>
      <c r="C53" s="78">
        <v>889000</v>
      </c>
    </row>
    <row r="54" spans="1:3" ht="12" customHeight="1">
      <c r="A54" s="424" t="s">
        <v>106</v>
      </c>
      <c r="B54" s="8" t="s">
        <v>58</v>
      </c>
      <c r="C54" s="78"/>
    </row>
    <row r="55" spans="1:3" ht="12" customHeight="1" thickBot="1">
      <c r="A55" s="424" t="s">
        <v>107</v>
      </c>
      <c r="B55" s="8" t="s">
        <v>515</v>
      </c>
      <c r="C55" s="78"/>
    </row>
    <row r="56" spans="1:3" ht="15" customHeight="1" thickBot="1">
      <c r="A56" s="191" t="s">
        <v>20</v>
      </c>
      <c r="B56" s="119" t="s">
        <v>13</v>
      </c>
      <c r="C56" s="318"/>
    </row>
    <row r="57" spans="1:3" ht="13.5" thickBot="1">
      <c r="A57" s="191" t="s">
        <v>21</v>
      </c>
      <c r="B57" s="220" t="s">
        <v>520</v>
      </c>
      <c r="C57" s="340">
        <f>+C45+C51+C56</f>
        <v>103997852</v>
      </c>
    </row>
    <row r="58" ht="15" customHeight="1" thickBot="1">
      <c r="C58" s="594">
        <f>C41-C57</f>
        <v>0</v>
      </c>
    </row>
    <row r="59" spans="1:3" ht="14.25" customHeight="1" thickBot="1">
      <c r="A59" s="223" t="s">
        <v>510</v>
      </c>
      <c r="B59" s="224"/>
      <c r="C59" s="116">
        <v>12</v>
      </c>
    </row>
    <row r="60" spans="1:3" ht="13.5" thickBot="1">
      <c r="A60" s="223" t="s">
        <v>202</v>
      </c>
      <c r="B60" s="224"/>
      <c r="C60" s="116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C60"/>
  <sheetViews>
    <sheetView zoomScale="120" zoomScaleNormal="120" workbookViewId="0" topLeftCell="A23">
      <selection activeCell="E13" sqref="E13"/>
    </sheetView>
  </sheetViews>
  <sheetFormatPr defaultColWidth="9.00390625" defaultRowHeight="12.75"/>
  <cols>
    <col min="1" max="1" width="13.875" style="221" customWidth="1"/>
    <col min="2" max="2" width="79.125" style="222" customWidth="1"/>
    <col min="3" max="3" width="25.00390625" style="222" customWidth="1"/>
    <col min="4" max="16384" width="9.375" style="222" customWidth="1"/>
  </cols>
  <sheetData>
    <row r="1" spans="1:3" s="202" customFormat="1" ht="21" customHeight="1" thickBot="1">
      <c r="A1" s="201"/>
      <c r="B1" s="203"/>
      <c r="C1" s="561" t="str">
        <f>CONCATENATE(ALAPADATOK!P15,"1. melléklet ",ALAPADATOK!A7," ",ALAPADATOK!B7," ",ALAPADATOK!C7," ",ALAPADATOK!D7," ",ALAPADATOK!E7," ",ALAPADATOK!F7," ",ALAPADATOK!G7," ",ALAPADATOK!H7)</f>
        <v>9.4.1. melléklet a … / 2021 ( … ) önkormányzati rendelethez</v>
      </c>
    </row>
    <row r="2" spans="1:3" s="428" customFormat="1" ht="36">
      <c r="A2" s="381" t="s">
        <v>200</v>
      </c>
      <c r="B2" s="559" t="str">
        <f>CONCATENATE('KV_9.4.sz.mell'!B2)</f>
        <v>Ezüstkor Szociális Gondozó Központ</v>
      </c>
      <c r="C2" s="341" t="s">
        <v>422</v>
      </c>
    </row>
    <row r="3" spans="1:3" s="428" customFormat="1" ht="24.75" thickBot="1">
      <c r="A3" s="422" t="s">
        <v>199</v>
      </c>
      <c r="B3" s="560" t="s">
        <v>408</v>
      </c>
      <c r="C3" s="342" t="s">
        <v>59</v>
      </c>
    </row>
    <row r="4" spans="1:3" s="429" customFormat="1" ht="15.75" customHeight="1" thickBot="1">
      <c r="A4" s="204"/>
      <c r="B4" s="204"/>
      <c r="C4" s="205" t="str">
        <f>'KV_9.4.sz.mell'!C4</f>
        <v>Forintban!</v>
      </c>
    </row>
    <row r="5" spans="1:3" ht="13.5" thickBot="1">
      <c r="A5" s="382" t="s">
        <v>201</v>
      </c>
      <c r="B5" s="206" t="s">
        <v>553</v>
      </c>
      <c r="C5" s="207" t="s">
        <v>55</v>
      </c>
    </row>
    <row r="6" spans="1:3" s="430" customFormat="1" ht="12.75" customHeight="1" thickBot="1">
      <c r="A6" s="183"/>
      <c r="B6" s="184" t="s">
        <v>484</v>
      </c>
      <c r="C6" s="185" t="s">
        <v>485</v>
      </c>
    </row>
    <row r="7" spans="1:3" s="430" customFormat="1" ht="15.75" customHeight="1" thickBot="1">
      <c r="A7" s="208"/>
      <c r="B7" s="209" t="s">
        <v>56</v>
      </c>
      <c r="C7" s="210"/>
    </row>
    <row r="8" spans="1:3" s="343" customFormat="1" ht="12" customHeight="1" thickBot="1">
      <c r="A8" s="183" t="s">
        <v>18</v>
      </c>
      <c r="B8" s="211" t="s">
        <v>511</v>
      </c>
      <c r="C8" s="292">
        <f>SUM(C9:C19)</f>
        <v>2481840</v>
      </c>
    </row>
    <row r="9" spans="1:3" s="343" customFormat="1" ht="12" customHeight="1">
      <c r="A9" s="423" t="s">
        <v>98</v>
      </c>
      <c r="B9" s="10" t="s">
        <v>268</v>
      </c>
      <c r="C9" s="333"/>
    </row>
    <row r="10" spans="1:3" s="343" customFormat="1" ht="12" customHeight="1">
      <c r="A10" s="424" t="s">
        <v>99</v>
      </c>
      <c r="B10" s="8" t="s">
        <v>269</v>
      </c>
      <c r="C10" s="290"/>
    </row>
    <row r="11" spans="1:3" s="343" customFormat="1" ht="12" customHeight="1">
      <c r="A11" s="424" t="s">
        <v>100</v>
      </c>
      <c r="B11" s="8" t="s">
        <v>270</v>
      </c>
      <c r="C11" s="290"/>
    </row>
    <row r="12" spans="1:3" s="343" customFormat="1" ht="12" customHeight="1">
      <c r="A12" s="424" t="s">
        <v>101</v>
      </c>
      <c r="B12" s="8" t="s">
        <v>271</v>
      </c>
      <c r="C12" s="290"/>
    </row>
    <row r="13" spans="1:3" s="343" customFormat="1" ht="12" customHeight="1">
      <c r="A13" s="424" t="s">
        <v>146</v>
      </c>
      <c r="B13" s="8" t="s">
        <v>272</v>
      </c>
      <c r="C13" s="290">
        <v>2481840</v>
      </c>
    </row>
    <row r="14" spans="1:3" s="343" customFormat="1" ht="12" customHeight="1">
      <c r="A14" s="424" t="s">
        <v>102</v>
      </c>
      <c r="B14" s="8" t="s">
        <v>390</v>
      </c>
      <c r="C14" s="290"/>
    </row>
    <row r="15" spans="1:3" s="343" customFormat="1" ht="12" customHeight="1">
      <c r="A15" s="424" t="s">
        <v>103</v>
      </c>
      <c r="B15" s="7" t="s">
        <v>391</v>
      </c>
      <c r="C15" s="290"/>
    </row>
    <row r="16" spans="1:3" s="343" customFormat="1" ht="12" customHeight="1">
      <c r="A16" s="424" t="s">
        <v>113</v>
      </c>
      <c r="B16" s="8" t="s">
        <v>275</v>
      </c>
      <c r="C16" s="334"/>
    </row>
    <row r="17" spans="1:3" s="431" customFormat="1" ht="12" customHeight="1">
      <c r="A17" s="424" t="s">
        <v>114</v>
      </c>
      <c r="B17" s="8" t="s">
        <v>276</v>
      </c>
      <c r="C17" s="290"/>
    </row>
    <row r="18" spans="1:3" s="431" customFormat="1" ht="12" customHeight="1">
      <c r="A18" s="424" t="s">
        <v>115</v>
      </c>
      <c r="B18" s="8" t="s">
        <v>427</v>
      </c>
      <c r="C18" s="291"/>
    </row>
    <row r="19" spans="1:3" s="431" customFormat="1" ht="12" customHeight="1" thickBot="1">
      <c r="A19" s="424" t="s">
        <v>116</v>
      </c>
      <c r="B19" s="7" t="s">
        <v>277</v>
      </c>
      <c r="C19" s="291"/>
    </row>
    <row r="20" spans="1:3" s="343" customFormat="1" ht="12" customHeight="1" thickBot="1">
      <c r="A20" s="183" t="s">
        <v>19</v>
      </c>
      <c r="B20" s="211" t="s">
        <v>392</v>
      </c>
      <c r="C20" s="292">
        <f>SUM(C21:C23)</f>
        <v>0</v>
      </c>
    </row>
    <row r="21" spans="1:3" s="431" customFormat="1" ht="12" customHeight="1">
      <c r="A21" s="424" t="s">
        <v>104</v>
      </c>
      <c r="B21" s="9" t="s">
        <v>251</v>
      </c>
      <c r="C21" s="290"/>
    </row>
    <row r="22" spans="1:3" s="431" customFormat="1" ht="12" customHeight="1">
      <c r="A22" s="424" t="s">
        <v>105</v>
      </c>
      <c r="B22" s="8" t="s">
        <v>393</v>
      </c>
      <c r="C22" s="290"/>
    </row>
    <row r="23" spans="1:3" s="431" customFormat="1" ht="12" customHeight="1">
      <c r="A23" s="424" t="s">
        <v>106</v>
      </c>
      <c r="B23" s="8" t="s">
        <v>394</v>
      </c>
      <c r="C23" s="290"/>
    </row>
    <row r="24" spans="1:3" s="431" customFormat="1" ht="12" customHeight="1" thickBot="1">
      <c r="A24" s="424" t="s">
        <v>107</v>
      </c>
      <c r="B24" s="8" t="s">
        <v>516</v>
      </c>
      <c r="C24" s="290"/>
    </row>
    <row r="25" spans="1:3" s="431" customFormat="1" ht="12" customHeight="1" thickBot="1">
      <c r="A25" s="191" t="s">
        <v>20</v>
      </c>
      <c r="B25" s="119" t="s">
        <v>172</v>
      </c>
      <c r="C25" s="318"/>
    </row>
    <row r="26" spans="1:3" s="431" customFormat="1" ht="12" customHeight="1" thickBot="1">
      <c r="A26" s="191" t="s">
        <v>21</v>
      </c>
      <c r="B26" s="119" t="s">
        <v>395</v>
      </c>
      <c r="C26" s="292">
        <f>+C27+C28</f>
        <v>0</v>
      </c>
    </row>
    <row r="27" spans="1:3" s="431" customFormat="1" ht="12" customHeight="1">
      <c r="A27" s="425" t="s">
        <v>261</v>
      </c>
      <c r="B27" s="426" t="s">
        <v>393</v>
      </c>
      <c r="C27" s="75"/>
    </row>
    <row r="28" spans="1:3" s="431" customFormat="1" ht="12" customHeight="1">
      <c r="A28" s="425" t="s">
        <v>262</v>
      </c>
      <c r="B28" s="427" t="s">
        <v>396</v>
      </c>
      <c r="C28" s="293"/>
    </row>
    <row r="29" spans="1:3" s="431" customFormat="1" ht="12" customHeight="1" thickBot="1">
      <c r="A29" s="424" t="s">
        <v>263</v>
      </c>
      <c r="B29" s="136" t="s">
        <v>517</v>
      </c>
      <c r="C29" s="82"/>
    </row>
    <row r="30" spans="1:3" s="431" customFormat="1" ht="12" customHeight="1" thickBot="1">
      <c r="A30" s="191" t="s">
        <v>22</v>
      </c>
      <c r="B30" s="119" t="s">
        <v>397</v>
      </c>
      <c r="C30" s="292">
        <f>+C31+C32+C33</f>
        <v>0</v>
      </c>
    </row>
    <row r="31" spans="1:3" s="431" customFormat="1" ht="12" customHeight="1">
      <c r="A31" s="425" t="s">
        <v>91</v>
      </c>
      <c r="B31" s="426" t="s">
        <v>282</v>
      </c>
      <c r="C31" s="75"/>
    </row>
    <row r="32" spans="1:3" s="431" customFormat="1" ht="12" customHeight="1">
      <c r="A32" s="425" t="s">
        <v>92</v>
      </c>
      <c r="B32" s="427" t="s">
        <v>283</v>
      </c>
      <c r="C32" s="293"/>
    </row>
    <row r="33" spans="1:3" s="431" customFormat="1" ht="12" customHeight="1" thickBot="1">
      <c r="A33" s="424" t="s">
        <v>93</v>
      </c>
      <c r="B33" s="136" t="s">
        <v>284</v>
      </c>
      <c r="C33" s="82"/>
    </row>
    <row r="34" spans="1:3" s="343" customFormat="1" ht="12" customHeight="1" thickBot="1">
      <c r="A34" s="191" t="s">
        <v>23</v>
      </c>
      <c r="B34" s="119" t="s">
        <v>367</v>
      </c>
      <c r="C34" s="318"/>
    </row>
    <row r="35" spans="1:3" s="343" customFormat="1" ht="12" customHeight="1" thickBot="1">
      <c r="A35" s="191" t="s">
        <v>24</v>
      </c>
      <c r="B35" s="119" t="s">
        <v>398</v>
      </c>
      <c r="C35" s="335"/>
    </row>
    <row r="36" spans="1:3" s="343" customFormat="1" ht="12" customHeight="1" thickBot="1">
      <c r="A36" s="183" t="s">
        <v>25</v>
      </c>
      <c r="B36" s="119" t="s">
        <v>518</v>
      </c>
      <c r="C36" s="336">
        <f>+C8+C20+C25+C26+C30+C34+C35</f>
        <v>2481840</v>
      </c>
    </row>
    <row r="37" spans="1:3" s="343" customFormat="1" ht="12" customHeight="1" thickBot="1">
      <c r="A37" s="212" t="s">
        <v>26</v>
      </c>
      <c r="B37" s="119" t="s">
        <v>400</v>
      </c>
      <c r="C37" s="336">
        <f>+C38+C39+C40</f>
        <v>101516012</v>
      </c>
    </row>
    <row r="38" spans="1:3" s="343" customFormat="1" ht="12" customHeight="1">
      <c r="A38" s="425" t="s">
        <v>401</v>
      </c>
      <c r="B38" s="426" t="s">
        <v>229</v>
      </c>
      <c r="C38" s="75">
        <v>311852</v>
      </c>
    </row>
    <row r="39" spans="1:3" s="343" customFormat="1" ht="12" customHeight="1">
      <c r="A39" s="425" t="s">
        <v>402</v>
      </c>
      <c r="B39" s="427" t="s">
        <v>2</v>
      </c>
      <c r="C39" s="293"/>
    </row>
    <row r="40" spans="1:3" s="431" customFormat="1" ht="12" customHeight="1" thickBot="1">
      <c r="A40" s="424" t="s">
        <v>403</v>
      </c>
      <c r="B40" s="136" t="s">
        <v>404</v>
      </c>
      <c r="C40" s="82">
        <v>101204160</v>
      </c>
    </row>
    <row r="41" spans="1:3" s="431" customFormat="1" ht="15" customHeight="1" thickBot="1">
      <c r="A41" s="212" t="s">
        <v>27</v>
      </c>
      <c r="B41" s="213" t="s">
        <v>405</v>
      </c>
      <c r="C41" s="339">
        <f>+C36+C37</f>
        <v>103997852</v>
      </c>
    </row>
    <row r="42" spans="1:3" s="431" customFormat="1" ht="15" customHeight="1">
      <c r="A42" s="214"/>
      <c r="B42" s="215"/>
      <c r="C42" s="337"/>
    </row>
    <row r="43" spans="1:3" ht="13.5" thickBot="1">
      <c r="A43" s="216"/>
      <c r="B43" s="217"/>
      <c r="C43" s="338"/>
    </row>
    <row r="44" spans="1:3" s="430" customFormat="1" ht="16.5" customHeight="1" thickBot="1">
      <c r="A44" s="218"/>
      <c r="B44" s="219" t="s">
        <v>57</v>
      </c>
      <c r="C44" s="339"/>
    </row>
    <row r="45" spans="1:3" s="432" customFormat="1" ht="12" customHeight="1" thickBot="1">
      <c r="A45" s="191" t="s">
        <v>18</v>
      </c>
      <c r="B45" s="119" t="s">
        <v>406</v>
      </c>
      <c r="C45" s="292">
        <f>SUM(C46:C50)</f>
        <v>102688482</v>
      </c>
    </row>
    <row r="46" spans="1:3" ht="12" customHeight="1">
      <c r="A46" s="424" t="s">
        <v>98</v>
      </c>
      <c r="B46" s="9" t="s">
        <v>49</v>
      </c>
      <c r="C46" s="75">
        <v>79639815</v>
      </c>
    </row>
    <row r="47" spans="1:3" ht="12" customHeight="1">
      <c r="A47" s="424" t="s">
        <v>99</v>
      </c>
      <c r="B47" s="8" t="s">
        <v>181</v>
      </c>
      <c r="C47" s="78">
        <v>11956842</v>
      </c>
    </row>
    <row r="48" spans="1:3" ht="12" customHeight="1">
      <c r="A48" s="424" t="s">
        <v>100</v>
      </c>
      <c r="B48" s="8" t="s">
        <v>138</v>
      </c>
      <c r="C48" s="78">
        <v>11091825</v>
      </c>
    </row>
    <row r="49" spans="1:3" ht="12" customHeight="1">
      <c r="A49" s="424" t="s">
        <v>101</v>
      </c>
      <c r="B49" s="8" t="s">
        <v>182</v>
      </c>
      <c r="C49" s="78"/>
    </row>
    <row r="50" spans="1:3" ht="12" customHeight="1" thickBot="1">
      <c r="A50" s="424" t="s">
        <v>146</v>
      </c>
      <c r="B50" s="8" t="s">
        <v>183</v>
      </c>
      <c r="C50" s="78"/>
    </row>
    <row r="51" spans="1:3" ht="12" customHeight="1" thickBot="1">
      <c r="A51" s="191" t="s">
        <v>19</v>
      </c>
      <c r="B51" s="119" t="s">
        <v>407</v>
      </c>
      <c r="C51" s="292">
        <f>SUM(C52:C54)</f>
        <v>1309370</v>
      </c>
    </row>
    <row r="52" spans="1:3" s="432" customFormat="1" ht="12" customHeight="1">
      <c r="A52" s="424" t="s">
        <v>104</v>
      </c>
      <c r="B52" s="9" t="s">
        <v>223</v>
      </c>
      <c r="C52" s="75">
        <v>420370</v>
      </c>
    </row>
    <row r="53" spans="1:3" ht="12" customHeight="1">
      <c r="A53" s="424" t="s">
        <v>105</v>
      </c>
      <c r="B53" s="8" t="s">
        <v>185</v>
      </c>
      <c r="C53" s="78">
        <v>889000</v>
      </c>
    </row>
    <row r="54" spans="1:3" ht="12" customHeight="1">
      <c r="A54" s="424" t="s">
        <v>106</v>
      </c>
      <c r="B54" s="8" t="s">
        <v>58</v>
      </c>
      <c r="C54" s="78"/>
    </row>
    <row r="55" spans="1:3" ht="12" customHeight="1" thickBot="1">
      <c r="A55" s="424" t="s">
        <v>107</v>
      </c>
      <c r="B55" s="8" t="s">
        <v>515</v>
      </c>
      <c r="C55" s="78"/>
    </row>
    <row r="56" spans="1:3" ht="15" customHeight="1" thickBot="1">
      <c r="A56" s="191" t="s">
        <v>20</v>
      </c>
      <c r="B56" s="119" t="s">
        <v>13</v>
      </c>
      <c r="C56" s="318"/>
    </row>
    <row r="57" spans="1:3" ht="13.5" thickBot="1">
      <c r="A57" s="191" t="s">
        <v>21</v>
      </c>
      <c r="B57" s="220" t="s">
        <v>520</v>
      </c>
      <c r="C57" s="340">
        <f>+C45+C51+C56</f>
        <v>103997852</v>
      </c>
    </row>
    <row r="58" ht="15" customHeight="1" thickBot="1">
      <c r="C58" s="594">
        <f>C41-C57</f>
        <v>0</v>
      </c>
    </row>
    <row r="59" spans="1:3" ht="14.25" customHeight="1" thickBot="1">
      <c r="A59" s="223" t="s">
        <v>510</v>
      </c>
      <c r="B59" s="224"/>
      <c r="C59" s="116">
        <v>12</v>
      </c>
    </row>
    <row r="60" spans="1:3" ht="13.5" thickBot="1">
      <c r="A60" s="223" t="s">
        <v>202</v>
      </c>
      <c r="B60" s="224"/>
      <c r="C60" s="116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C60"/>
  <sheetViews>
    <sheetView zoomScale="120" zoomScaleNormal="120" workbookViewId="0" topLeftCell="A23">
      <selection activeCell="C43" sqref="C43"/>
    </sheetView>
  </sheetViews>
  <sheetFormatPr defaultColWidth="9.00390625" defaultRowHeight="12.75"/>
  <cols>
    <col min="1" max="1" width="13.875" style="221" customWidth="1"/>
    <col min="2" max="2" width="79.125" style="222" customWidth="1"/>
    <col min="3" max="3" width="25.00390625" style="222" customWidth="1"/>
    <col min="4" max="16384" width="9.375" style="222" customWidth="1"/>
  </cols>
  <sheetData>
    <row r="1" spans="1:3" s="202" customFormat="1" ht="21" customHeight="1" thickBot="1">
      <c r="A1" s="201"/>
      <c r="B1" s="203"/>
      <c r="C1" s="561" t="str">
        <f>CONCATENATE(ALAPADATOK!P15,"2. melléklet ",ALAPADATOK!A7," ",ALAPADATOK!B7," ",ALAPADATOK!C7," ",ALAPADATOK!D7," ",ALAPADATOK!E7," ",ALAPADATOK!F7," ",ALAPADATOK!G7," ",ALAPADATOK!H7)</f>
        <v>9.4.2. melléklet a … / 2021 ( … ) önkormányzati rendelethez</v>
      </c>
    </row>
    <row r="2" spans="1:3" s="428" customFormat="1" ht="36">
      <c r="A2" s="381" t="s">
        <v>200</v>
      </c>
      <c r="B2" s="559" t="str">
        <f>CONCATENATE('KV_9.4.1.sz.mell'!B2)</f>
        <v>Ezüstkor Szociális Gondozó Központ</v>
      </c>
      <c r="C2" s="341" t="s">
        <v>422</v>
      </c>
    </row>
    <row r="3" spans="1:3" s="428" customFormat="1" ht="24.75" thickBot="1">
      <c r="A3" s="422" t="s">
        <v>199</v>
      </c>
      <c r="B3" s="560" t="s">
        <v>409</v>
      </c>
      <c r="C3" s="342" t="s">
        <v>60</v>
      </c>
    </row>
    <row r="4" spans="1:3" s="429" customFormat="1" ht="15.75" customHeight="1" thickBot="1">
      <c r="A4" s="204"/>
      <c r="B4" s="204"/>
      <c r="C4" s="205" t="str">
        <f>'KV_9.4.1.sz.mell'!C4</f>
        <v>Forintban!</v>
      </c>
    </row>
    <row r="5" spans="1:3" ht="13.5" thickBot="1">
      <c r="A5" s="382" t="s">
        <v>201</v>
      </c>
      <c r="B5" s="206" t="s">
        <v>553</v>
      </c>
      <c r="C5" s="207" t="s">
        <v>55</v>
      </c>
    </row>
    <row r="6" spans="1:3" s="430" customFormat="1" ht="12.75" customHeight="1" thickBot="1">
      <c r="A6" s="183"/>
      <c r="B6" s="184" t="s">
        <v>484</v>
      </c>
      <c r="C6" s="185" t="s">
        <v>485</v>
      </c>
    </row>
    <row r="7" spans="1:3" s="430" customFormat="1" ht="15.75" customHeight="1" thickBot="1">
      <c r="A7" s="208"/>
      <c r="B7" s="209" t="s">
        <v>56</v>
      </c>
      <c r="C7" s="210"/>
    </row>
    <row r="8" spans="1:3" s="343" customFormat="1" ht="12" customHeight="1" thickBot="1">
      <c r="A8" s="183" t="s">
        <v>18</v>
      </c>
      <c r="B8" s="211" t="s">
        <v>511</v>
      </c>
      <c r="C8" s="292">
        <f>SUM(C9:C19)</f>
        <v>0</v>
      </c>
    </row>
    <row r="9" spans="1:3" s="343" customFormat="1" ht="12" customHeight="1">
      <c r="A9" s="423" t="s">
        <v>98</v>
      </c>
      <c r="B9" s="10" t="s">
        <v>268</v>
      </c>
      <c r="C9" s="333"/>
    </row>
    <row r="10" spans="1:3" s="343" customFormat="1" ht="12" customHeight="1">
      <c r="A10" s="424" t="s">
        <v>99</v>
      </c>
      <c r="B10" s="8" t="s">
        <v>269</v>
      </c>
      <c r="C10" s="290"/>
    </row>
    <row r="11" spans="1:3" s="343" customFormat="1" ht="12" customHeight="1">
      <c r="A11" s="424" t="s">
        <v>100</v>
      </c>
      <c r="B11" s="8" t="s">
        <v>270</v>
      </c>
      <c r="C11" s="290"/>
    </row>
    <row r="12" spans="1:3" s="343" customFormat="1" ht="12" customHeight="1">
      <c r="A12" s="424" t="s">
        <v>101</v>
      </c>
      <c r="B12" s="8" t="s">
        <v>271</v>
      </c>
      <c r="C12" s="290"/>
    </row>
    <row r="13" spans="1:3" s="343" customFormat="1" ht="12" customHeight="1">
      <c r="A13" s="424" t="s">
        <v>146</v>
      </c>
      <c r="B13" s="8" t="s">
        <v>272</v>
      </c>
      <c r="C13" s="290"/>
    </row>
    <row r="14" spans="1:3" s="343" customFormat="1" ht="12" customHeight="1">
      <c r="A14" s="424" t="s">
        <v>102</v>
      </c>
      <c r="B14" s="8" t="s">
        <v>390</v>
      </c>
      <c r="C14" s="290"/>
    </row>
    <row r="15" spans="1:3" s="343" customFormat="1" ht="12" customHeight="1">
      <c r="A15" s="424" t="s">
        <v>103</v>
      </c>
      <c r="B15" s="7" t="s">
        <v>391</v>
      </c>
      <c r="C15" s="290"/>
    </row>
    <row r="16" spans="1:3" s="343" customFormat="1" ht="12" customHeight="1">
      <c r="A16" s="424" t="s">
        <v>113</v>
      </c>
      <c r="B16" s="8" t="s">
        <v>275</v>
      </c>
      <c r="C16" s="334"/>
    </row>
    <row r="17" spans="1:3" s="431" customFormat="1" ht="12" customHeight="1">
      <c r="A17" s="424" t="s">
        <v>114</v>
      </c>
      <c r="B17" s="8" t="s">
        <v>276</v>
      </c>
      <c r="C17" s="290"/>
    </row>
    <row r="18" spans="1:3" s="431" customFormat="1" ht="12" customHeight="1">
      <c r="A18" s="424" t="s">
        <v>115</v>
      </c>
      <c r="B18" s="8" t="s">
        <v>427</v>
      </c>
      <c r="C18" s="291"/>
    </row>
    <row r="19" spans="1:3" s="431" customFormat="1" ht="12" customHeight="1" thickBot="1">
      <c r="A19" s="424" t="s">
        <v>116</v>
      </c>
      <c r="B19" s="7" t="s">
        <v>277</v>
      </c>
      <c r="C19" s="291"/>
    </row>
    <row r="20" spans="1:3" s="343" customFormat="1" ht="12" customHeight="1" thickBot="1">
      <c r="A20" s="183" t="s">
        <v>19</v>
      </c>
      <c r="B20" s="211" t="s">
        <v>392</v>
      </c>
      <c r="C20" s="292">
        <f>SUM(C21:C23)</f>
        <v>0</v>
      </c>
    </row>
    <row r="21" spans="1:3" s="431" customFormat="1" ht="12" customHeight="1">
      <c r="A21" s="424" t="s">
        <v>104</v>
      </c>
      <c r="B21" s="9" t="s">
        <v>251</v>
      </c>
      <c r="C21" s="290"/>
    </row>
    <row r="22" spans="1:3" s="431" customFormat="1" ht="12" customHeight="1">
      <c r="A22" s="424" t="s">
        <v>105</v>
      </c>
      <c r="B22" s="8" t="s">
        <v>393</v>
      </c>
      <c r="C22" s="290"/>
    </row>
    <row r="23" spans="1:3" s="431" customFormat="1" ht="12" customHeight="1">
      <c r="A23" s="424" t="s">
        <v>106</v>
      </c>
      <c r="B23" s="8" t="s">
        <v>394</v>
      </c>
      <c r="C23" s="290"/>
    </row>
    <row r="24" spans="1:3" s="431" customFormat="1" ht="12" customHeight="1" thickBot="1">
      <c r="A24" s="424" t="s">
        <v>107</v>
      </c>
      <c r="B24" s="8" t="s">
        <v>516</v>
      </c>
      <c r="C24" s="290"/>
    </row>
    <row r="25" spans="1:3" s="431" customFormat="1" ht="12" customHeight="1" thickBot="1">
      <c r="A25" s="191" t="s">
        <v>20</v>
      </c>
      <c r="B25" s="119" t="s">
        <v>172</v>
      </c>
      <c r="C25" s="318"/>
    </row>
    <row r="26" spans="1:3" s="431" customFormat="1" ht="12" customHeight="1" thickBot="1">
      <c r="A26" s="191" t="s">
        <v>21</v>
      </c>
      <c r="B26" s="119" t="s">
        <v>395</v>
      </c>
      <c r="C26" s="292">
        <f>+C27+C28</f>
        <v>0</v>
      </c>
    </row>
    <row r="27" spans="1:3" s="431" customFormat="1" ht="12" customHeight="1">
      <c r="A27" s="425" t="s">
        <v>261</v>
      </c>
      <c r="B27" s="426" t="s">
        <v>393</v>
      </c>
      <c r="C27" s="75"/>
    </row>
    <row r="28" spans="1:3" s="431" customFormat="1" ht="12" customHeight="1">
      <c r="A28" s="425" t="s">
        <v>262</v>
      </c>
      <c r="B28" s="427" t="s">
        <v>396</v>
      </c>
      <c r="C28" s="293"/>
    </row>
    <row r="29" spans="1:3" s="431" customFormat="1" ht="12" customHeight="1" thickBot="1">
      <c r="A29" s="424" t="s">
        <v>263</v>
      </c>
      <c r="B29" s="136" t="s">
        <v>517</v>
      </c>
      <c r="C29" s="82"/>
    </row>
    <row r="30" spans="1:3" s="431" customFormat="1" ht="12" customHeight="1" thickBot="1">
      <c r="A30" s="191" t="s">
        <v>22</v>
      </c>
      <c r="B30" s="119" t="s">
        <v>397</v>
      </c>
      <c r="C30" s="292">
        <f>+C31+C32+C33</f>
        <v>0</v>
      </c>
    </row>
    <row r="31" spans="1:3" s="431" customFormat="1" ht="12" customHeight="1">
      <c r="A31" s="425" t="s">
        <v>91</v>
      </c>
      <c r="B31" s="426" t="s">
        <v>282</v>
      </c>
      <c r="C31" s="75"/>
    </row>
    <row r="32" spans="1:3" s="431" customFormat="1" ht="12" customHeight="1">
      <c r="A32" s="425" t="s">
        <v>92</v>
      </c>
      <c r="B32" s="427" t="s">
        <v>283</v>
      </c>
      <c r="C32" s="293"/>
    </row>
    <row r="33" spans="1:3" s="431" customFormat="1" ht="12" customHeight="1" thickBot="1">
      <c r="A33" s="424" t="s">
        <v>93</v>
      </c>
      <c r="B33" s="136" t="s">
        <v>284</v>
      </c>
      <c r="C33" s="82"/>
    </row>
    <row r="34" spans="1:3" s="343" customFormat="1" ht="12" customHeight="1" thickBot="1">
      <c r="A34" s="191" t="s">
        <v>23</v>
      </c>
      <c r="B34" s="119" t="s">
        <v>367</v>
      </c>
      <c r="C34" s="318"/>
    </row>
    <row r="35" spans="1:3" s="343" customFormat="1" ht="12" customHeight="1" thickBot="1">
      <c r="A35" s="191" t="s">
        <v>24</v>
      </c>
      <c r="B35" s="119" t="s">
        <v>398</v>
      </c>
      <c r="C35" s="335"/>
    </row>
    <row r="36" spans="1:3" s="343" customFormat="1" ht="12" customHeight="1" thickBot="1">
      <c r="A36" s="183" t="s">
        <v>25</v>
      </c>
      <c r="B36" s="119" t="s">
        <v>518</v>
      </c>
      <c r="C36" s="336">
        <f>+C8+C20+C25+C26+C30+C34+C35</f>
        <v>0</v>
      </c>
    </row>
    <row r="37" spans="1:3" s="343" customFormat="1" ht="12" customHeight="1" thickBot="1">
      <c r="A37" s="212" t="s">
        <v>26</v>
      </c>
      <c r="B37" s="119" t="s">
        <v>400</v>
      </c>
      <c r="C37" s="336">
        <f>+C38+C39+C40</f>
        <v>0</v>
      </c>
    </row>
    <row r="38" spans="1:3" s="343" customFormat="1" ht="12" customHeight="1">
      <c r="A38" s="425" t="s">
        <v>401</v>
      </c>
      <c r="B38" s="426" t="s">
        <v>229</v>
      </c>
      <c r="C38" s="75"/>
    </row>
    <row r="39" spans="1:3" s="343" customFormat="1" ht="12" customHeight="1">
      <c r="A39" s="425" t="s">
        <v>402</v>
      </c>
      <c r="B39" s="427" t="s">
        <v>2</v>
      </c>
      <c r="C39" s="293"/>
    </row>
    <row r="40" spans="1:3" s="431" customFormat="1" ht="12" customHeight="1" thickBot="1">
      <c r="A40" s="424" t="s">
        <v>403</v>
      </c>
      <c r="B40" s="136" t="s">
        <v>404</v>
      </c>
      <c r="C40" s="82"/>
    </row>
    <row r="41" spans="1:3" s="431" customFormat="1" ht="15" customHeight="1" thickBot="1">
      <c r="A41" s="212" t="s">
        <v>27</v>
      </c>
      <c r="B41" s="213" t="s">
        <v>405</v>
      </c>
      <c r="C41" s="339">
        <f>+C36+C37</f>
        <v>0</v>
      </c>
    </row>
    <row r="42" spans="1:3" s="431" customFormat="1" ht="15" customHeight="1">
      <c r="A42" s="214"/>
      <c r="B42" s="215"/>
      <c r="C42" s="337"/>
    </row>
    <row r="43" spans="1:3" ht="13.5" thickBot="1">
      <c r="A43" s="216"/>
      <c r="B43" s="217"/>
      <c r="C43" s="338"/>
    </row>
    <row r="44" spans="1:3" s="430" customFormat="1" ht="16.5" customHeight="1" thickBot="1">
      <c r="A44" s="218"/>
      <c r="B44" s="219" t="s">
        <v>57</v>
      </c>
      <c r="C44" s="339"/>
    </row>
    <row r="45" spans="1:3" s="432" customFormat="1" ht="12" customHeight="1" thickBot="1">
      <c r="A45" s="191" t="s">
        <v>18</v>
      </c>
      <c r="B45" s="119" t="s">
        <v>406</v>
      </c>
      <c r="C45" s="292">
        <f>SUM(C46:C50)</f>
        <v>0</v>
      </c>
    </row>
    <row r="46" spans="1:3" ht="12" customHeight="1">
      <c r="A46" s="424" t="s">
        <v>98</v>
      </c>
      <c r="B46" s="9" t="s">
        <v>49</v>
      </c>
      <c r="C46" s="75"/>
    </row>
    <row r="47" spans="1:3" ht="12" customHeight="1">
      <c r="A47" s="424" t="s">
        <v>99</v>
      </c>
      <c r="B47" s="8" t="s">
        <v>181</v>
      </c>
      <c r="C47" s="78"/>
    </row>
    <row r="48" spans="1:3" ht="12" customHeight="1">
      <c r="A48" s="424" t="s">
        <v>100</v>
      </c>
      <c r="B48" s="8" t="s">
        <v>138</v>
      </c>
      <c r="C48" s="78"/>
    </row>
    <row r="49" spans="1:3" ht="12" customHeight="1">
      <c r="A49" s="424" t="s">
        <v>101</v>
      </c>
      <c r="B49" s="8" t="s">
        <v>182</v>
      </c>
      <c r="C49" s="78"/>
    </row>
    <row r="50" spans="1:3" ht="12" customHeight="1" thickBot="1">
      <c r="A50" s="424" t="s">
        <v>146</v>
      </c>
      <c r="B50" s="8" t="s">
        <v>183</v>
      </c>
      <c r="C50" s="78"/>
    </row>
    <row r="51" spans="1:3" ht="12" customHeight="1" thickBot="1">
      <c r="A51" s="191" t="s">
        <v>19</v>
      </c>
      <c r="B51" s="119" t="s">
        <v>407</v>
      </c>
      <c r="C51" s="292">
        <f>SUM(C52:C54)</f>
        <v>0</v>
      </c>
    </row>
    <row r="52" spans="1:3" s="432" customFormat="1" ht="12" customHeight="1">
      <c r="A52" s="424" t="s">
        <v>104</v>
      </c>
      <c r="B52" s="9" t="s">
        <v>223</v>
      </c>
      <c r="C52" s="75"/>
    </row>
    <row r="53" spans="1:3" ht="12" customHeight="1">
      <c r="A53" s="424" t="s">
        <v>105</v>
      </c>
      <c r="B53" s="8" t="s">
        <v>185</v>
      </c>
      <c r="C53" s="78"/>
    </row>
    <row r="54" spans="1:3" ht="12" customHeight="1">
      <c r="A54" s="424" t="s">
        <v>106</v>
      </c>
      <c r="B54" s="8" t="s">
        <v>58</v>
      </c>
      <c r="C54" s="78"/>
    </row>
    <row r="55" spans="1:3" ht="12" customHeight="1" thickBot="1">
      <c r="A55" s="424" t="s">
        <v>107</v>
      </c>
      <c r="B55" s="8" t="s">
        <v>515</v>
      </c>
      <c r="C55" s="78"/>
    </row>
    <row r="56" spans="1:3" ht="15" customHeight="1" thickBot="1">
      <c r="A56" s="191" t="s">
        <v>20</v>
      </c>
      <c r="B56" s="119" t="s">
        <v>13</v>
      </c>
      <c r="C56" s="318"/>
    </row>
    <row r="57" spans="1:3" ht="13.5" thickBot="1">
      <c r="A57" s="191" t="s">
        <v>21</v>
      </c>
      <c r="B57" s="220" t="s">
        <v>520</v>
      </c>
      <c r="C57" s="340">
        <f>+C45+C51+C56</f>
        <v>0</v>
      </c>
    </row>
    <row r="58" ht="15" customHeight="1" thickBot="1">
      <c r="C58" s="594">
        <f>C41-C57</f>
        <v>0</v>
      </c>
    </row>
    <row r="59" spans="1:3" ht="14.25" customHeight="1" thickBot="1">
      <c r="A59" s="223" t="s">
        <v>510</v>
      </c>
      <c r="B59" s="224"/>
      <c r="C59" s="116">
        <v>0</v>
      </c>
    </row>
    <row r="60" spans="1:3" ht="13.5" thickBot="1">
      <c r="A60" s="223" t="s">
        <v>202</v>
      </c>
      <c r="B60" s="224"/>
      <c r="C60" s="116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C60"/>
  <sheetViews>
    <sheetView zoomScale="120" zoomScaleNormal="120" workbookViewId="0" topLeftCell="A1">
      <selection activeCell="E5" sqref="E5"/>
    </sheetView>
  </sheetViews>
  <sheetFormatPr defaultColWidth="9.00390625" defaultRowHeight="12.75"/>
  <cols>
    <col min="1" max="1" width="13.875" style="221" customWidth="1"/>
    <col min="2" max="2" width="79.125" style="222" customWidth="1"/>
    <col min="3" max="3" width="25.00390625" style="222" customWidth="1"/>
    <col min="4" max="16384" width="9.375" style="222" customWidth="1"/>
  </cols>
  <sheetData>
    <row r="1" spans="1:3" s="202" customFormat="1" ht="21" customHeight="1" thickBot="1">
      <c r="A1" s="201"/>
      <c r="B1" s="203"/>
      <c r="C1" s="561" t="str">
        <f>CONCATENATE(ALAPADATOK!P15,"3. melléklet ",ALAPADATOK!A7," ",ALAPADATOK!B7," ",ALAPADATOK!C7," ",ALAPADATOK!D7," ",ALAPADATOK!E7," ",ALAPADATOK!F7," ",ALAPADATOK!G7," ",ALAPADATOK!H7)</f>
        <v>9.4.3. melléklet a … / 2021 ( … ) önkormányzati rendelethez</v>
      </c>
    </row>
    <row r="2" spans="1:3" s="428" customFormat="1" ht="36">
      <c r="A2" s="381" t="s">
        <v>200</v>
      </c>
      <c r="B2" s="559" t="str">
        <f>CONCATENATE('KV_9.4.2.sz.mell'!B2)</f>
        <v>Ezüstkor Szociális Gondozó Központ</v>
      </c>
      <c r="C2" s="341" t="s">
        <v>422</v>
      </c>
    </row>
    <row r="3" spans="1:3" s="428" customFormat="1" ht="24.75" thickBot="1">
      <c r="A3" s="422" t="s">
        <v>199</v>
      </c>
      <c r="B3" s="560" t="s">
        <v>521</v>
      </c>
      <c r="C3" s="342" t="s">
        <v>422</v>
      </c>
    </row>
    <row r="4" spans="1:3" s="429" customFormat="1" ht="15.75" customHeight="1" thickBot="1">
      <c r="A4" s="204"/>
      <c r="B4" s="204"/>
      <c r="C4" s="205" t="str">
        <f>'KV_9.4.2.sz.mell'!C4</f>
        <v>Forintban!</v>
      </c>
    </row>
    <row r="5" spans="1:3" ht="13.5" thickBot="1">
      <c r="A5" s="382" t="s">
        <v>201</v>
      </c>
      <c r="B5" s="206" t="s">
        <v>553</v>
      </c>
      <c r="C5" s="523" t="s">
        <v>55</v>
      </c>
    </row>
    <row r="6" spans="1:3" s="430" customFormat="1" ht="12.75" customHeight="1" thickBot="1">
      <c r="A6" s="183"/>
      <c r="B6" s="184" t="s">
        <v>484</v>
      </c>
      <c r="C6" s="185" t="s">
        <v>485</v>
      </c>
    </row>
    <row r="7" spans="1:3" s="430" customFormat="1" ht="15.75" customHeight="1" thickBot="1">
      <c r="A7" s="208"/>
      <c r="B7" s="209" t="s">
        <v>56</v>
      </c>
      <c r="C7" s="210"/>
    </row>
    <row r="8" spans="1:3" s="343" customFormat="1" ht="12" customHeight="1" thickBot="1">
      <c r="A8" s="183" t="s">
        <v>18</v>
      </c>
      <c r="B8" s="211" t="s">
        <v>511</v>
      </c>
      <c r="C8" s="292">
        <f>SUM(C9:C19)</f>
        <v>0</v>
      </c>
    </row>
    <row r="9" spans="1:3" s="343" customFormat="1" ht="12" customHeight="1">
      <c r="A9" s="423" t="s">
        <v>98</v>
      </c>
      <c r="B9" s="10" t="s">
        <v>268</v>
      </c>
      <c r="C9" s="333"/>
    </row>
    <row r="10" spans="1:3" s="343" customFormat="1" ht="12" customHeight="1">
      <c r="A10" s="424" t="s">
        <v>99</v>
      </c>
      <c r="B10" s="8" t="s">
        <v>269</v>
      </c>
      <c r="C10" s="290"/>
    </row>
    <row r="11" spans="1:3" s="343" customFormat="1" ht="12" customHeight="1">
      <c r="A11" s="424" t="s">
        <v>100</v>
      </c>
      <c r="B11" s="8" t="s">
        <v>270</v>
      </c>
      <c r="C11" s="290"/>
    </row>
    <row r="12" spans="1:3" s="343" customFormat="1" ht="12" customHeight="1">
      <c r="A12" s="424" t="s">
        <v>101</v>
      </c>
      <c r="B12" s="8" t="s">
        <v>271</v>
      </c>
      <c r="C12" s="290"/>
    </row>
    <row r="13" spans="1:3" s="343" customFormat="1" ht="12" customHeight="1">
      <c r="A13" s="424" t="s">
        <v>146</v>
      </c>
      <c r="B13" s="8" t="s">
        <v>272</v>
      </c>
      <c r="C13" s="290"/>
    </row>
    <row r="14" spans="1:3" s="343" customFormat="1" ht="12" customHeight="1">
      <c r="A14" s="424" t="s">
        <v>102</v>
      </c>
      <c r="B14" s="8" t="s">
        <v>390</v>
      </c>
      <c r="C14" s="290"/>
    </row>
    <row r="15" spans="1:3" s="343" customFormat="1" ht="12" customHeight="1">
      <c r="A15" s="424" t="s">
        <v>103</v>
      </c>
      <c r="B15" s="7" t="s">
        <v>391</v>
      </c>
      <c r="C15" s="290"/>
    </row>
    <row r="16" spans="1:3" s="343" customFormat="1" ht="12" customHeight="1">
      <c r="A16" s="424" t="s">
        <v>113</v>
      </c>
      <c r="B16" s="8" t="s">
        <v>275</v>
      </c>
      <c r="C16" s="334"/>
    </row>
    <row r="17" spans="1:3" s="431" customFormat="1" ht="12" customHeight="1">
      <c r="A17" s="424" t="s">
        <v>114</v>
      </c>
      <c r="B17" s="8" t="s">
        <v>276</v>
      </c>
      <c r="C17" s="290"/>
    </row>
    <row r="18" spans="1:3" s="431" customFormat="1" ht="12" customHeight="1">
      <c r="A18" s="424" t="s">
        <v>115</v>
      </c>
      <c r="B18" s="8" t="s">
        <v>427</v>
      </c>
      <c r="C18" s="291"/>
    </row>
    <row r="19" spans="1:3" s="431" customFormat="1" ht="12" customHeight="1" thickBot="1">
      <c r="A19" s="424" t="s">
        <v>116</v>
      </c>
      <c r="B19" s="7" t="s">
        <v>277</v>
      </c>
      <c r="C19" s="291"/>
    </row>
    <row r="20" spans="1:3" s="343" customFormat="1" ht="12" customHeight="1" thickBot="1">
      <c r="A20" s="183" t="s">
        <v>19</v>
      </c>
      <c r="B20" s="211" t="s">
        <v>392</v>
      </c>
      <c r="C20" s="292">
        <f>SUM(C21:C23)</f>
        <v>0</v>
      </c>
    </row>
    <row r="21" spans="1:3" s="431" customFormat="1" ht="12" customHeight="1">
      <c r="A21" s="424" t="s">
        <v>104</v>
      </c>
      <c r="B21" s="9" t="s">
        <v>251</v>
      </c>
      <c r="C21" s="290"/>
    </row>
    <row r="22" spans="1:3" s="431" customFormat="1" ht="12" customHeight="1">
      <c r="A22" s="424" t="s">
        <v>105</v>
      </c>
      <c r="B22" s="8" t="s">
        <v>393</v>
      </c>
      <c r="C22" s="290"/>
    </row>
    <row r="23" spans="1:3" s="431" customFormat="1" ht="12" customHeight="1">
      <c r="A23" s="424" t="s">
        <v>106</v>
      </c>
      <c r="B23" s="8" t="s">
        <v>394</v>
      </c>
      <c r="C23" s="290"/>
    </row>
    <row r="24" spans="1:3" s="431" customFormat="1" ht="12" customHeight="1" thickBot="1">
      <c r="A24" s="424" t="s">
        <v>107</v>
      </c>
      <c r="B24" s="8" t="s">
        <v>516</v>
      </c>
      <c r="C24" s="290"/>
    </row>
    <row r="25" spans="1:3" s="431" customFormat="1" ht="12" customHeight="1" thickBot="1">
      <c r="A25" s="191" t="s">
        <v>20</v>
      </c>
      <c r="B25" s="119" t="s">
        <v>172</v>
      </c>
      <c r="C25" s="318"/>
    </row>
    <row r="26" spans="1:3" s="431" customFormat="1" ht="12" customHeight="1" thickBot="1">
      <c r="A26" s="191" t="s">
        <v>21</v>
      </c>
      <c r="B26" s="119" t="s">
        <v>395</v>
      </c>
      <c r="C26" s="292">
        <f>+C27+C28</f>
        <v>0</v>
      </c>
    </row>
    <row r="27" spans="1:3" s="431" customFormat="1" ht="12" customHeight="1">
      <c r="A27" s="425" t="s">
        <v>261</v>
      </c>
      <c r="B27" s="426" t="s">
        <v>393</v>
      </c>
      <c r="C27" s="75"/>
    </row>
    <row r="28" spans="1:3" s="431" customFormat="1" ht="12" customHeight="1">
      <c r="A28" s="425" t="s">
        <v>262</v>
      </c>
      <c r="B28" s="427" t="s">
        <v>396</v>
      </c>
      <c r="C28" s="293"/>
    </row>
    <row r="29" spans="1:3" s="431" customFormat="1" ht="12" customHeight="1" thickBot="1">
      <c r="A29" s="424" t="s">
        <v>263</v>
      </c>
      <c r="B29" s="136" t="s">
        <v>517</v>
      </c>
      <c r="C29" s="82"/>
    </row>
    <row r="30" spans="1:3" s="431" customFormat="1" ht="12" customHeight="1" thickBot="1">
      <c r="A30" s="191" t="s">
        <v>22</v>
      </c>
      <c r="B30" s="119" t="s">
        <v>397</v>
      </c>
      <c r="C30" s="292">
        <f>+C31+C32+C33</f>
        <v>0</v>
      </c>
    </row>
    <row r="31" spans="1:3" s="431" customFormat="1" ht="12" customHeight="1">
      <c r="A31" s="425" t="s">
        <v>91</v>
      </c>
      <c r="B31" s="426" t="s">
        <v>282</v>
      </c>
      <c r="C31" s="75"/>
    </row>
    <row r="32" spans="1:3" s="431" customFormat="1" ht="12" customHeight="1">
      <c r="A32" s="425" t="s">
        <v>92</v>
      </c>
      <c r="B32" s="427" t="s">
        <v>283</v>
      </c>
      <c r="C32" s="293"/>
    </row>
    <row r="33" spans="1:3" s="431" customFormat="1" ht="12" customHeight="1" thickBot="1">
      <c r="A33" s="424" t="s">
        <v>93</v>
      </c>
      <c r="B33" s="136" t="s">
        <v>284</v>
      </c>
      <c r="C33" s="82"/>
    </row>
    <row r="34" spans="1:3" s="343" customFormat="1" ht="12" customHeight="1" thickBot="1">
      <c r="A34" s="191" t="s">
        <v>23</v>
      </c>
      <c r="B34" s="119" t="s">
        <v>367</v>
      </c>
      <c r="C34" s="318"/>
    </row>
    <row r="35" spans="1:3" s="343" customFormat="1" ht="12" customHeight="1" thickBot="1">
      <c r="A35" s="191" t="s">
        <v>24</v>
      </c>
      <c r="B35" s="119" t="s">
        <v>398</v>
      </c>
      <c r="C35" s="335"/>
    </row>
    <row r="36" spans="1:3" s="343" customFormat="1" ht="12" customHeight="1" thickBot="1">
      <c r="A36" s="183" t="s">
        <v>25</v>
      </c>
      <c r="B36" s="119" t="s">
        <v>518</v>
      </c>
      <c r="C36" s="336">
        <f>+C8+C20+C25+C26+C30+C34+C35</f>
        <v>0</v>
      </c>
    </row>
    <row r="37" spans="1:3" s="343" customFormat="1" ht="12" customHeight="1" thickBot="1">
      <c r="A37" s="212" t="s">
        <v>26</v>
      </c>
      <c r="B37" s="119" t="s">
        <v>400</v>
      </c>
      <c r="C37" s="336">
        <f>+C38+C39+C40</f>
        <v>0</v>
      </c>
    </row>
    <row r="38" spans="1:3" s="343" customFormat="1" ht="12" customHeight="1">
      <c r="A38" s="425" t="s">
        <v>401</v>
      </c>
      <c r="B38" s="426" t="s">
        <v>229</v>
      </c>
      <c r="C38" s="75"/>
    </row>
    <row r="39" spans="1:3" s="343" customFormat="1" ht="12" customHeight="1">
      <c r="A39" s="425" t="s">
        <v>402</v>
      </c>
      <c r="B39" s="427" t="s">
        <v>2</v>
      </c>
      <c r="C39" s="293"/>
    </row>
    <row r="40" spans="1:3" s="431" customFormat="1" ht="12" customHeight="1" thickBot="1">
      <c r="A40" s="424" t="s">
        <v>403</v>
      </c>
      <c r="B40" s="136" t="s">
        <v>404</v>
      </c>
      <c r="C40" s="82"/>
    </row>
    <row r="41" spans="1:3" s="431" customFormat="1" ht="15" customHeight="1" thickBot="1">
      <c r="A41" s="212" t="s">
        <v>27</v>
      </c>
      <c r="B41" s="213" t="s">
        <v>405</v>
      </c>
      <c r="C41" s="339">
        <f>+C36+C37</f>
        <v>0</v>
      </c>
    </row>
    <row r="42" spans="1:3" s="431" customFormat="1" ht="15" customHeight="1">
      <c r="A42" s="214"/>
      <c r="B42" s="215"/>
      <c r="C42" s="337"/>
    </row>
    <row r="43" spans="1:3" ht="13.5" thickBot="1">
      <c r="A43" s="216"/>
      <c r="B43" s="217"/>
      <c r="C43" s="338"/>
    </row>
    <row r="44" spans="1:3" s="430" customFormat="1" ht="16.5" customHeight="1" thickBot="1">
      <c r="A44" s="218"/>
      <c r="B44" s="219" t="s">
        <v>57</v>
      </c>
      <c r="C44" s="339"/>
    </row>
    <row r="45" spans="1:3" s="432" customFormat="1" ht="12" customHeight="1" thickBot="1">
      <c r="A45" s="191" t="s">
        <v>18</v>
      </c>
      <c r="B45" s="119" t="s">
        <v>406</v>
      </c>
      <c r="C45" s="292">
        <f>SUM(C46:C50)</f>
        <v>0</v>
      </c>
    </row>
    <row r="46" spans="1:3" ht="12" customHeight="1">
      <c r="A46" s="424" t="s">
        <v>98</v>
      </c>
      <c r="B46" s="9" t="s">
        <v>49</v>
      </c>
      <c r="C46" s="75"/>
    </row>
    <row r="47" spans="1:3" ht="12" customHeight="1">
      <c r="A47" s="424" t="s">
        <v>99</v>
      </c>
      <c r="B47" s="8" t="s">
        <v>181</v>
      </c>
      <c r="C47" s="78"/>
    </row>
    <row r="48" spans="1:3" ht="12" customHeight="1">
      <c r="A48" s="424" t="s">
        <v>100</v>
      </c>
      <c r="B48" s="8" t="s">
        <v>138</v>
      </c>
      <c r="C48" s="78"/>
    </row>
    <row r="49" spans="1:3" ht="12" customHeight="1">
      <c r="A49" s="424" t="s">
        <v>101</v>
      </c>
      <c r="B49" s="8" t="s">
        <v>182</v>
      </c>
      <c r="C49" s="78"/>
    </row>
    <row r="50" spans="1:3" ht="12" customHeight="1" thickBot="1">
      <c r="A50" s="424" t="s">
        <v>146</v>
      </c>
      <c r="B50" s="8" t="s">
        <v>183</v>
      </c>
      <c r="C50" s="78"/>
    </row>
    <row r="51" spans="1:3" ht="12" customHeight="1" thickBot="1">
      <c r="A51" s="191" t="s">
        <v>19</v>
      </c>
      <c r="B51" s="119" t="s">
        <v>407</v>
      </c>
      <c r="C51" s="292">
        <f>SUM(C52:C54)</f>
        <v>0</v>
      </c>
    </row>
    <row r="52" spans="1:3" s="432" customFormat="1" ht="12" customHeight="1">
      <c r="A52" s="424" t="s">
        <v>104</v>
      </c>
      <c r="B52" s="9" t="s">
        <v>223</v>
      </c>
      <c r="C52" s="75"/>
    </row>
    <row r="53" spans="1:3" ht="12" customHeight="1">
      <c r="A53" s="424" t="s">
        <v>105</v>
      </c>
      <c r="B53" s="8" t="s">
        <v>185</v>
      </c>
      <c r="C53" s="78"/>
    </row>
    <row r="54" spans="1:3" ht="12" customHeight="1">
      <c r="A54" s="424" t="s">
        <v>106</v>
      </c>
      <c r="B54" s="8" t="s">
        <v>58</v>
      </c>
      <c r="C54" s="78"/>
    </row>
    <row r="55" spans="1:3" ht="12" customHeight="1" thickBot="1">
      <c r="A55" s="424" t="s">
        <v>107</v>
      </c>
      <c r="B55" s="8" t="s">
        <v>515</v>
      </c>
      <c r="C55" s="78"/>
    </row>
    <row r="56" spans="1:3" ht="15" customHeight="1" thickBot="1">
      <c r="A56" s="191" t="s">
        <v>20</v>
      </c>
      <c r="B56" s="119" t="s">
        <v>13</v>
      </c>
      <c r="C56" s="318"/>
    </row>
    <row r="57" spans="1:3" ht="13.5" thickBot="1">
      <c r="A57" s="191" t="s">
        <v>21</v>
      </c>
      <c r="B57" s="220" t="s">
        <v>520</v>
      </c>
      <c r="C57" s="340">
        <f>+C45+C51+C56</f>
        <v>0</v>
      </c>
    </row>
    <row r="58" ht="15" customHeight="1" thickBot="1">
      <c r="C58" s="594">
        <f>C41-C57</f>
        <v>0</v>
      </c>
    </row>
    <row r="59" spans="1:3" ht="14.25" customHeight="1" thickBot="1">
      <c r="A59" s="223" t="s">
        <v>510</v>
      </c>
      <c r="B59" s="224"/>
      <c r="C59" s="116">
        <v>0</v>
      </c>
    </row>
    <row r="60" spans="1:3" ht="13.5" thickBot="1">
      <c r="A60" s="223" t="s">
        <v>202</v>
      </c>
      <c r="B60" s="224"/>
      <c r="C60" s="116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C60"/>
  <sheetViews>
    <sheetView zoomScale="120" zoomScaleNormal="120" workbookViewId="0" topLeftCell="A23">
      <selection activeCell="C52" sqref="C52:C53"/>
    </sheetView>
  </sheetViews>
  <sheetFormatPr defaultColWidth="9.00390625" defaultRowHeight="12.75"/>
  <cols>
    <col min="1" max="1" width="13.875" style="221" customWidth="1"/>
    <col min="2" max="2" width="79.125" style="222" customWidth="1"/>
    <col min="3" max="3" width="25.00390625" style="222" customWidth="1"/>
    <col min="4" max="16384" width="9.375" style="222" customWidth="1"/>
  </cols>
  <sheetData>
    <row r="1" spans="1:3" s="202" customFormat="1" ht="21" customHeight="1" thickBot="1">
      <c r="A1" s="201"/>
      <c r="B1" s="203"/>
      <c r="C1" s="561" t="str">
        <f>CONCATENATE(ALAPADATOK!P17," melléklet ",ALAPADATOK!A7," ",ALAPADATOK!B7," ",ALAPADATOK!C7," ",ALAPADATOK!D7," ",ALAPADATOK!E7," ",ALAPADATOK!F7," ",ALAPADATOK!G7," ",ALAPADATOK!H7)</f>
        <v>9.5. melléklet a … / 2021 ( … ) önkormányzati rendelethez</v>
      </c>
    </row>
    <row r="2" spans="1:3" s="428" customFormat="1" ht="36">
      <c r="A2" s="381" t="s">
        <v>200</v>
      </c>
      <c r="B2" s="559" t="str">
        <f>CONCATENATE(ALAPADATOK!B17)</f>
        <v>Solymári Óvoda-Bölcsőde</v>
      </c>
      <c r="C2" s="341" t="s">
        <v>578</v>
      </c>
    </row>
    <row r="3" spans="1:3" s="428" customFormat="1" ht="24.75" thickBot="1">
      <c r="A3" s="422" t="s">
        <v>199</v>
      </c>
      <c r="B3" s="560" t="s">
        <v>389</v>
      </c>
      <c r="C3" s="342" t="s">
        <v>54</v>
      </c>
    </row>
    <row r="4" spans="1:3" s="429" customFormat="1" ht="15.75" customHeight="1" thickBot="1">
      <c r="A4" s="204"/>
      <c r="B4" s="204"/>
      <c r="C4" s="205" t="str">
        <f>'KV_9.2.3.sz.mell'!C4</f>
        <v>Forintban!</v>
      </c>
    </row>
    <row r="5" spans="1:3" ht="13.5" thickBot="1">
      <c r="A5" s="382" t="s">
        <v>201</v>
      </c>
      <c r="B5" s="206" t="s">
        <v>553</v>
      </c>
      <c r="C5" s="207" t="s">
        <v>55</v>
      </c>
    </row>
    <row r="6" spans="1:3" s="430" customFormat="1" ht="12.75" customHeight="1" thickBot="1">
      <c r="A6" s="183"/>
      <c r="B6" s="184" t="s">
        <v>484</v>
      </c>
      <c r="C6" s="185" t="s">
        <v>485</v>
      </c>
    </row>
    <row r="7" spans="1:3" s="430" customFormat="1" ht="15.75" customHeight="1" thickBot="1">
      <c r="A7" s="208"/>
      <c r="B7" s="209" t="s">
        <v>56</v>
      </c>
      <c r="C7" s="210"/>
    </row>
    <row r="8" spans="1:3" s="343" customFormat="1" ht="12" customHeight="1" thickBot="1">
      <c r="A8" s="183" t="s">
        <v>18</v>
      </c>
      <c r="B8" s="211" t="s">
        <v>511</v>
      </c>
      <c r="C8" s="292">
        <f>SUM(C9:C19)</f>
        <v>12704969</v>
      </c>
    </row>
    <row r="9" spans="1:3" s="343" customFormat="1" ht="12" customHeight="1">
      <c r="A9" s="423" t="s">
        <v>98</v>
      </c>
      <c r="B9" s="10" t="s">
        <v>268</v>
      </c>
      <c r="C9" s="333"/>
    </row>
    <row r="10" spans="1:3" s="343" customFormat="1" ht="12" customHeight="1">
      <c r="A10" s="424" t="s">
        <v>99</v>
      </c>
      <c r="B10" s="8" t="s">
        <v>269</v>
      </c>
      <c r="C10" s="290"/>
    </row>
    <row r="11" spans="1:3" s="343" customFormat="1" ht="12" customHeight="1">
      <c r="A11" s="424" t="s">
        <v>100</v>
      </c>
      <c r="B11" s="8" t="s">
        <v>270</v>
      </c>
      <c r="C11" s="290"/>
    </row>
    <row r="12" spans="1:3" s="343" customFormat="1" ht="12" customHeight="1">
      <c r="A12" s="424" t="s">
        <v>101</v>
      </c>
      <c r="B12" s="8" t="s">
        <v>271</v>
      </c>
      <c r="C12" s="290"/>
    </row>
    <row r="13" spans="1:3" s="343" customFormat="1" ht="12" customHeight="1">
      <c r="A13" s="424" t="s">
        <v>146</v>
      </c>
      <c r="B13" s="8" t="s">
        <v>272</v>
      </c>
      <c r="C13" s="290">
        <v>10737377</v>
      </c>
    </row>
    <row r="14" spans="1:3" s="343" customFormat="1" ht="12" customHeight="1">
      <c r="A14" s="424" t="s">
        <v>102</v>
      </c>
      <c r="B14" s="8" t="s">
        <v>390</v>
      </c>
      <c r="C14" s="290">
        <v>1967592</v>
      </c>
    </row>
    <row r="15" spans="1:3" s="343" customFormat="1" ht="12" customHeight="1">
      <c r="A15" s="424" t="s">
        <v>103</v>
      </c>
      <c r="B15" s="7" t="s">
        <v>391</v>
      </c>
      <c r="C15" s="290"/>
    </row>
    <row r="16" spans="1:3" s="343" customFormat="1" ht="12" customHeight="1">
      <c r="A16" s="424" t="s">
        <v>113</v>
      </c>
      <c r="B16" s="8" t="s">
        <v>275</v>
      </c>
      <c r="C16" s="334"/>
    </row>
    <row r="17" spans="1:3" s="431" customFormat="1" ht="12" customHeight="1">
      <c r="A17" s="424" t="s">
        <v>114</v>
      </c>
      <c r="B17" s="8" t="s">
        <v>276</v>
      </c>
      <c r="C17" s="290"/>
    </row>
    <row r="18" spans="1:3" s="431" customFormat="1" ht="12" customHeight="1">
      <c r="A18" s="424" t="s">
        <v>115</v>
      </c>
      <c r="B18" s="8" t="s">
        <v>427</v>
      </c>
      <c r="C18" s="291"/>
    </row>
    <row r="19" spans="1:3" s="431" customFormat="1" ht="12" customHeight="1" thickBot="1">
      <c r="A19" s="424" t="s">
        <v>116</v>
      </c>
      <c r="B19" s="7" t="s">
        <v>277</v>
      </c>
      <c r="C19" s="291"/>
    </row>
    <row r="20" spans="1:3" s="343" customFormat="1" ht="12" customHeight="1" thickBot="1">
      <c r="A20" s="183" t="s">
        <v>19</v>
      </c>
      <c r="B20" s="211" t="s">
        <v>392</v>
      </c>
      <c r="C20" s="292">
        <f>SUM(C21:C23)</f>
        <v>0</v>
      </c>
    </row>
    <row r="21" spans="1:3" s="431" customFormat="1" ht="12" customHeight="1">
      <c r="A21" s="424" t="s">
        <v>104</v>
      </c>
      <c r="B21" s="9" t="s">
        <v>251</v>
      </c>
      <c r="C21" s="290"/>
    </row>
    <row r="22" spans="1:3" s="431" customFormat="1" ht="12" customHeight="1">
      <c r="A22" s="424" t="s">
        <v>105</v>
      </c>
      <c r="B22" s="8" t="s">
        <v>393</v>
      </c>
      <c r="C22" s="290"/>
    </row>
    <row r="23" spans="1:3" s="431" customFormat="1" ht="12" customHeight="1">
      <c r="A23" s="424" t="s">
        <v>106</v>
      </c>
      <c r="B23" s="8" t="s">
        <v>394</v>
      </c>
      <c r="C23" s="290"/>
    </row>
    <row r="24" spans="1:3" s="431" customFormat="1" ht="12" customHeight="1" thickBot="1">
      <c r="A24" s="424" t="s">
        <v>107</v>
      </c>
      <c r="B24" s="8" t="s">
        <v>516</v>
      </c>
      <c r="C24" s="290"/>
    </row>
    <row r="25" spans="1:3" s="431" customFormat="1" ht="12" customHeight="1" thickBot="1">
      <c r="A25" s="191" t="s">
        <v>20</v>
      </c>
      <c r="B25" s="119" t="s">
        <v>172</v>
      </c>
      <c r="C25" s="318"/>
    </row>
    <row r="26" spans="1:3" s="431" customFormat="1" ht="12" customHeight="1" thickBot="1">
      <c r="A26" s="191" t="s">
        <v>21</v>
      </c>
      <c r="B26" s="119" t="s">
        <v>395</v>
      </c>
      <c r="C26" s="292">
        <f>+C27+C28</f>
        <v>0</v>
      </c>
    </row>
    <row r="27" spans="1:3" s="431" customFormat="1" ht="12" customHeight="1">
      <c r="A27" s="425" t="s">
        <v>261</v>
      </c>
      <c r="B27" s="426" t="s">
        <v>393</v>
      </c>
      <c r="C27" s="75"/>
    </row>
    <row r="28" spans="1:3" s="431" customFormat="1" ht="12" customHeight="1">
      <c r="A28" s="425" t="s">
        <v>262</v>
      </c>
      <c r="B28" s="427" t="s">
        <v>396</v>
      </c>
      <c r="C28" s="293"/>
    </row>
    <row r="29" spans="1:3" s="431" customFormat="1" ht="12" customHeight="1" thickBot="1">
      <c r="A29" s="424" t="s">
        <v>263</v>
      </c>
      <c r="B29" s="136" t="s">
        <v>517</v>
      </c>
      <c r="C29" s="82"/>
    </row>
    <row r="30" spans="1:3" s="431" customFormat="1" ht="12" customHeight="1" thickBot="1">
      <c r="A30" s="191" t="s">
        <v>22</v>
      </c>
      <c r="B30" s="119" t="s">
        <v>397</v>
      </c>
      <c r="C30" s="292">
        <f>+C31+C32+C33</f>
        <v>0</v>
      </c>
    </row>
    <row r="31" spans="1:3" s="431" customFormat="1" ht="12" customHeight="1">
      <c r="A31" s="425" t="s">
        <v>91</v>
      </c>
      <c r="B31" s="426" t="s">
        <v>282</v>
      </c>
      <c r="C31" s="75"/>
    </row>
    <row r="32" spans="1:3" s="431" customFormat="1" ht="12" customHeight="1">
      <c r="A32" s="425" t="s">
        <v>92</v>
      </c>
      <c r="B32" s="427" t="s">
        <v>283</v>
      </c>
      <c r="C32" s="293"/>
    </row>
    <row r="33" spans="1:3" s="431" customFormat="1" ht="12" customHeight="1" thickBot="1">
      <c r="A33" s="424" t="s">
        <v>93</v>
      </c>
      <c r="B33" s="136" t="s">
        <v>284</v>
      </c>
      <c r="C33" s="82"/>
    </row>
    <row r="34" spans="1:3" s="343" customFormat="1" ht="12" customHeight="1" thickBot="1">
      <c r="A34" s="191" t="s">
        <v>23</v>
      </c>
      <c r="B34" s="119" t="s">
        <v>367</v>
      </c>
      <c r="C34" s="318"/>
    </row>
    <row r="35" spans="1:3" s="343" customFormat="1" ht="12" customHeight="1" thickBot="1">
      <c r="A35" s="191" t="s">
        <v>24</v>
      </c>
      <c r="B35" s="119" t="s">
        <v>398</v>
      </c>
      <c r="C35" s="335"/>
    </row>
    <row r="36" spans="1:3" s="343" customFormat="1" ht="12" customHeight="1" thickBot="1">
      <c r="A36" s="183" t="s">
        <v>25</v>
      </c>
      <c r="B36" s="119" t="s">
        <v>518</v>
      </c>
      <c r="C36" s="336">
        <f>+C8+C20+C25+C26+C30+C34+C35</f>
        <v>12704969</v>
      </c>
    </row>
    <row r="37" spans="1:3" s="343" customFormat="1" ht="12" customHeight="1" thickBot="1">
      <c r="A37" s="212" t="s">
        <v>26</v>
      </c>
      <c r="B37" s="119" t="s">
        <v>400</v>
      </c>
      <c r="C37" s="336">
        <f>+C38+C39+C40</f>
        <v>396242804</v>
      </c>
    </row>
    <row r="38" spans="1:3" s="343" customFormat="1" ht="12" customHeight="1">
      <c r="A38" s="425" t="s">
        <v>401</v>
      </c>
      <c r="B38" s="426" t="s">
        <v>229</v>
      </c>
      <c r="C38" s="75">
        <v>2710987</v>
      </c>
    </row>
    <row r="39" spans="1:3" s="343" customFormat="1" ht="12" customHeight="1">
      <c r="A39" s="425" t="s">
        <v>402</v>
      </c>
      <c r="B39" s="427" t="s">
        <v>2</v>
      </c>
      <c r="C39" s="293"/>
    </row>
    <row r="40" spans="1:3" s="431" customFormat="1" ht="12" customHeight="1" thickBot="1">
      <c r="A40" s="424" t="s">
        <v>403</v>
      </c>
      <c r="B40" s="136" t="s">
        <v>404</v>
      </c>
      <c r="C40" s="82">
        <v>393531817</v>
      </c>
    </row>
    <row r="41" spans="1:3" s="431" customFormat="1" ht="15" customHeight="1" thickBot="1">
      <c r="A41" s="212" t="s">
        <v>27</v>
      </c>
      <c r="B41" s="213" t="s">
        <v>405</v>
      </c>
      <c r="C41" s="339">
        <f>+C36+C37</f>
        <v>408947773</v>
      </c>
    </row>
    <row r="42" spans="1:3" s="431" customFormat="1" ht="15" customHeight="1">
      <c r="A42" s="214"/>
      <c r="B42" s="215"/>
      <c r="C42" s="337"/>
    </row>
    <row r="43" spans="1:3" ht="13.5" thickBot="1">
      <c r="A43" s="216"/>
      <c r="B43" s="217"/>
      <c r="C43" s="338"/>
    </row>
    <row r="44" spans="1:3" s="430" customFormat="1" ht="16.5" customHeight="1" thickBot="1">
      <c r="A44" s="218"/>
      <c r="B44" s="219" t="s">
        <v>57</v>
      </c>
      <c r="C44" s="339"/>
    </row>
    <row r="45" spans="1:3" s="432" customFormat="1" ht="12" customHeight="1" thickBot="1">
      <c r="A45" s="191" t="s">
        <v>18</v>
      </c>
      <c r="B45" s="119" t="s">
        <v>406</v>
      </c>
      <c r="C45" s="292">
        <f>SUM(C46:C50)</f>
        <v>402341233</v>
      </c>
    </row>
    <row r="46" spans="1:3" ht="12" customHeight="1">
      <c r="A46" s="424" t="s">
        <v>98</v>
      </c>
      <c r="B46" s="9" t="s">
        <v>49</v>
      </c>
      <c r="C46" s="75">
        <v>291363274</v>
      </c>
    </row>
    <row r="47" spans="1:3" ht="12" customHeight="1">
      <c r="A47" s="424" t="s">
        <v>99</v>
      </c>
      <c r="B47" s="8" t="s">
        <v>181</v>
      </c>
      <c r="C47" s="78">
        <v>46096969</v>
      </c>
    </row>
    <row r="48" spans="1:3" ht="12" customHeight="1">
      <c r="A48" s="424" t="s">
        <v>100</v>
      </c>
      <c r="B48" s="8" t="s">
        <v>138</v>
      </c>
      <c r="C48" s="78">
        <v>64880990</v>
      </c>
    </row>
    <row r="49" spans="1:3" ht="12" customHeight="1">
      <c r="A49" s="424" t="s">
        <v>101</v>
      </c>
      <c r="B49" s="8" t="s">
        <v>182</v>
      </c>
      <c r="C49" s="78"/>
    </row>
    <row r="50" spans="1:3" ht="12" customHeight="1" thickBot="1">
      <c r="A50" s="424" t="s">
        <v>146</v>
      </c>
      <c r="B50" s="8" t="s">
        <v>183</v>
      </c>
      <c r="C50" s="78"/>
    </row>
    <row r="51" spans="1:3" ht="12" customHeight="1" thickBot="1">
      <c r="A51" s="191" t="s">
        <v>19</v>
      </c>
      <c r="B51" s="119" t="s">
        <v>407</v>
      </c>
      <c r="C51" s="292">
        <f>SUM(C52:C54)</f>
        <v>6606540</v>
      </c>
    </row>
    <row r="52" spans="1:3" s="432" customFormat="1" ht="12" customHeight="1">
      <c r="A52" s="424" t="s">
        <v>104</v>
      </c>
      <c r="B52" s="9" t="s">
        <v>223</v>
      </c>
      <c r="C52" s="75">
        <v>552450</v>
      </c>
    </row>
    <row r="53" spans="1:3" ht="12" customHeight="1">
      <c r="A53" s="424" t="s">
        <v>105</v>
      </c>
      <c r="B53" s="8" t="s">
        <v>185</v>
      </c>
      <c r="C53" s="78">
        <v>6054090</v>
      </c>
    </row>
    <row r="54" spans="1:3" ht="12" customHeight="1">
      <c r="A54" s="424" t="s">
        <v>106</v>
      </c>
      <c r="B54" s="8" t="s">
        <v>58</v>
      </c>
      <c r="C54" s="78"/>
    </row>
    <row r="55" spans="1:3" ht="12" customHeight="1" thickBot="1">
      <c r="A55" s="424" t="s">
        <v>107</v>
      </c>
      <c r="B55" s="8" t="s">
        <v>515</v>
      </c>
      <c r="C55" s="78"/>
    </row>
    <row r="56" spans="1:3" ht="15" customHeight="1" thickBot="1">
      <c r="A56" s="191" t="s">
        <v>20</v>
      </c>
      <c r="B56" s="119" t="s">
        <v>13</v>
      </c>
      <c r="C56" s="318"/>
    </row>
    <row r="57" spans="1:3" ht="13.5" thickBot="1">
      <c r="A57" s="191" t="s">
        <v>21</v>
      </c>
      <c r="B57" s="220" t="s">
        <v>520</v>
      </c>
      <c r="C57" s="340">
        <f>+C45+C51+C56</f>
        <v>408947773</v>
      </c>
    </row>
    <row r="58" ht="15" customHeight="1" thickBot="1">
      <c r="C58" s="594">
        <f>C41-C57</f>
        <v>0</v>
      </c>
    </row>
    <row r="59" spans="1:3" ht="14.25" customHeight="1" thickBot="1">
      <c r="A59" s="223" t="s">
        <v>510</v>
      </c>
      <c r="B59" s="224"/>
      <c r="C59" s="116">
        <v>59</v>
      </c>
    </row>
    <row r="60" spans="1:3" ht="13.5" thickBot="1">
      <c r="A60" s="223" t="s">
        <v>202</v>
      </c>
      <c r="B60" s="224"/>
      <c r="C60" s="116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C60"/>
  <sheetViews>
    <sheetView zoomScale="120" zoomScaleNormal="120" workbookViewId="0" topLeftCell="A23">
      <selection activeCell="D12" sqref="D12"/>
    </sheetView>
  </sheetViews>
  <sheetFormatPr defaultColWidth="9.00390625" defaultRowHeight="12.75"/>
  <cols>
    <col min="1" max="1" width="13.875" style="221" customWidth="1"/>
    <col min="2" max="2" width="79.125" style="222" customWidth="1"/>
    <col min="3" max="3" width="25.00390625" style="222" customWidth="1"/>
    <col min="4" max="16384" width="9.375" style="222" customWidth="1"/>
  </cols>
  <sheetData>
    <row r="1" spans="1:3" s="202" customFormat="1" ht="21" customHeight="1" thickBot="1">
      <c r="A1" s="201"/>
      <c r="B1" s="203"/>
      <c r="C1" s="561" t="str">
        <f>CONCATENATE(ALAPADATOK!P17,"1. melléklet ",ALAPADATOK!A7," ",ALAPADATOK!B7," ",ALAPADATOK!C7," ",ALAPADATOK!D7," ",ALAPADATOK!E7," ",ALAPADATOK!F7," ",ALAPADATOK!G7," ",ALAPADATOK!H7)</f>
        <v>9.5.1. melléklet a … / 2021 ( … ) önkormányzati rendelethez</v>
      </c>
    </row>
    <row r="2" spans="1:3" s="428" customFormat="1" ht="36">
      <c r="A2" s="381" t="s">
        <v>200</v>
      </c>
      <c r="B2" s="559" t="str">
        <f>CONCATENATE('KV_9.5.sz.mell'!B2)</f>
        <v>Solymári Óvoda-Bölcsőde</v>
      </c>
      <c r="C2" s="341" t="s">
        <v>578</v>
      </c>
    </row>
    <row r="3" spans="1:3" s="428" customFormat="1" ht="24.75" thickBot="1">
      <c r="A3" s="422" t="s">
        <v>199</v>
      </c>
      <c r="B3" s="560" t="s">
        <v>408</v>
      </c>
      <c r="C3" s="342" t="s">
        <v>59</v>
      </c>
    </row>
    <row r="4" spans="1:3" s="429" customFormat="1" ht="15.75" customHeight="1" thickBot="1">
      <c r="A4" s="204"/>
      <c r="B4" s="204"/>
      <c r="C4" s="205" t="str">
        <f>'KV_9.5.sz.mell'!C4</f>
        <v>Forintban!</v>
      </c>
    </row>
    <row r="5" spans="1:3" ht="13.5" thickBot="1">
      <c r="A5" s="382" t="s">
        <v>201</v>
      </c>
      <c r="B5" s="206" t="s">
        <v>553</v>
      </c>
      <c r="C5" s="207" t="s">
        <v>55</v>
      </c>
    </row>
    <row r="6" spans="1:3" s="430" customFormat="1" ht="12.75" customHeight="1" thickBot="1">
      <c r="A6" s="183"/>
      <c r="B6" s="184" t="s">
        <v>484</v>
      </c>
      <c r="C6" s="185" t="s">
        <v>485</v>
      </c>
    </row>
    <row r="7" spans="1:3" s="430" customFormat="1" ht="15.75" customHeight="1" thickBot="1">
      <c r="A7" s="208"/>
      <c r="B7" s="209" t="s">
        <v>56</v>
      </c>
      <c r="C7" s="210"/>
    </row>
    <row r="8" spans="1:3" s="343" customFormat="1" ht="12" customHeight="1" thickBot="1">
      <c r="A8" s="183" t="s">
        <v>18</v>
      </c>
      <c r="B8" s="211" t="s">
        <v>511</v>
      </c>
      <c r="C8" s="292">
        <f>SUM(C9:C19)</f>
        <v>12704969</v>
      </c>
    </row>
    <row r="9" spans="1:3" s="343" customFormat="1" ht="12" customHeight="1">
      <c r="A9" s="423" t="s">
        <v>98</v>
      </c>
      <c r="B9" s="10" t="s">
        <v>268</v>
      </c>
      <c r="C9" s="333"/>
    </row>
    <row r="10" spans="1:3" s="343" customFormat="1" ht="12" customHeight="1">
      <c r="A10" s="424" t="s">
        <v>99</v>
      </c>
      <c r="B10" s="8" t="s">
        <v>269</v>
      </c>
      <c r="C10" s="290"/>
    </row>
    <row r="11" spans="1:3" s="343" customFormat="1" ht="12" customHeight="1">
      <c r="A11" s="424" t="s">
        <v>100</v>
      </c>
      <c r="B11" s="8" t="s">
        <v>270</v>
      </c>
      <c r="C11" s="290"/>
    </row>
    <row r="12" spans="1:3" s="343" customFormat="1" ht="12" customHeight="1">
      <c r="A12" s="424" t="s">
        <v>101</v>
      </c>
      <c r="B12" s="8" t="s">
        <v>271</v>
      </c>
      <c r="C12" s="290"/>
    </row>
    <row r="13" spans="1:3" s="343" customFormat="1" ht="12" customHeight="1">
      <c r="A13" s="424" t="s">
        <v>146</v>
      </c>
      <c r="B13" s="8" t="s">
        <v>272</v>
      </c>
      <c r="C13" s="290">
        <v>10737377</v>
      </c>
    </row>
    <row r="14" spans="1:3" s="343" customFormat="1" ht="12" customHeight="1">
      <c r="A14" s="424" t="s">
        <v>102</v>
      </c>
      <c r="B14" s="8" t="s">
        <v>390</v>
      </c>
      <c r="C14" s="290">
        <v>1967592</v>
      </c>
    </row>
    <row r="15" spans="1:3" s="343" customFormat="1" ht="12" customHeight="1">
      <c r="A15" s="424" t="s">
        <v>103</v>
      </c>
      <c r="B15" s="7" t="s">
        <v>391</v>
      </c>
      <c r="C15" s="290"/>
    </row>
    <row r="16" spans="1:3" s="343" customFormat="1" ht="12" customHeight="1">
      <c r="A16" s="424" t="s">
        <v>113</v>
      </c>
      <c r="B16" s="8" t="s">
        <v>275</v>
      </c>
      <c r="C16" s="334"/>
    </row>
    <row r="17" spans="1:3" s="431" customFormat="1" ht="12" customHeight="1">
      <c r="A17" s="424" t="s">
        <v>114</v>
      </c>
      <c r="B17" s="8" t="s">
        <v>276</v>
      </c>
      <c r="C17" s="290"/>
    </row>
    <row r="18" spans="1:3" s="431" customFormat="1" ht="12" customHeight="1">
      <c r="A18" s="424" t="s">
        <v>115</v>
      </c>
      <c r="B18" s="8" t="s">
        <v>427</v>
      </c>
      <c r="C18" s="291"/>
    </row>
    <row r="19" spans="1:3" s="431" customFormat="1" ht="12" customHeight="1" thickBot="1">
      <c r="A19" s="424" t="s">
        <v>116</v>
      </c>
      <c r="B19" s="7" t="s">
        <v>277</v>
      </c>
      <c r="C19" s="291"/>
    </row>
    <row r="20" spans="1:3" s="343" customFormat="1" ht="12" customHeight="1" thickBot="1">
      <c r="A20" s="183" t="s">
        <v>19</v>
      </c>
      <c r="B20" s="211" t="s">
        <v>392</v>
      </c>
      <c r="C20" s="292">
        <f>SUM(C21:C23)</f>
        <v>0</v>
      </c>
    </row>
    <row r="21" spans="1:3" s="431" customFormat="1" ht="12" customHeight="1">
      <c r="A21" s="424" t="s">
        <v>104</v>
      </c>
      <c r="B21" s="9" t="s">
        <v>251</v>
      </c>
      <c r="C21" s="290"/>
    </row>
    <row r="22" spans="1:3" s="431" customFormat="1" ht="12" customHeight="1">
      <c r="A22" s="424" t="s">
        <v>105</v>
      </c>
      <c r="B22" s="8" t="s">
        <v>393</v>
      </c>
      <c r="C22" s="290"/>
    </row>
    <row r="23" spans="1:3" s="431" customFormat="1" ht="12" customHeight="1">
      <c r="A23" s="424" t="s">
        <v>106</v>
      </c>
      <c r="B23" s="8" t="s">
        <v>394</v>
      </c>
      <c r="C23" s="290"/>
    </row>
    <row r="24" spans="1:3" s="431" customFormat="1" ht="12" customHeight="1" thickBot="1">
      <c r="A24" s="424" t="s">
        <v>107</v>
      </c>
      <c r="B24" s="8" t="s">
        <v>516</v>
      </c>
      <c r="C24" s="290"/>
    </row>
    <row r="25" spans="1:3" s="431" customFormat="1" ht="12" customHeight="1" thickBot="1">
      <c r="A25" s="191" t="s">
        <v>20</v>
      </c>
      <c r="B25" s="119" t="s">
        <v>172</v>
      </c>
      <c r="C25" s="318"/>
    </row>
    <row r="26" spans="1:3" s="431" customFormat="1" ht="12" customHeight="1" thickBot="1">
      <c r="A26" s="191" t="s">
        <v>21</v>
      </c>
      <c r="B26" s="119" t="s">
        <v>395</v>
      </c>
      <c r="C26" s="292">
        <f>+C27+C28</f>
        <v>0</v>
      </c>
    </row>
    <row r="27" spans="1:3" s="431" customFormat="1" ht="12" customHeight="1">
      <c r="A27" s="425" t="s">
        <v>261</v>
      </c>
      <c r="B27" s="426" t="s">
        <v>393</v>
      </c>
      <c r="C27" s="75"/>
    </row>
    <row r="28" spans="1:3" s="431" customFormat="1" ht="12" customHeight="1">
      <c r="A28" s="425" t="s">
        <v>262</v>
      </c>
      <c r="B28" s="427" t="s">
        <v>396</v>
      </c>
      <c r="C28" s="293"/>
    </row>
    <row r="29" spans="1:3" s="431" customFormat="1" ht="12" customHeight="1" thickBot="1">
      <c r="A29" s="424" t="s">
        <v>263</v>
      </c>
      <c r="B29" s="136" t="s">
        <v>517</v>
      </c>
      <c r="C29" s="82"/>
    </row>
    <row r="30" spans="1:3" s="431" customFormat="1" ht="12" customHeight="1" thickBot="1">
      <c r="A30" s="191" t="s">
        <v>22</v>
      </c>
      <c r="B30" s="119" t="s">
        <v>397</v>
      </c>
      <c r="C30" s="292">
        <f>+C31+C32+C33</f>
        <v>0</v>
      </c>
    </row>
    <row r="31" spans="1:3" s="431" customFormat="1" ht="12" customHeight="1">
      <c r="A31" s="425" t="s">
        <v>91</v>
      </c>
      <c r="B31" s="426" t="s">
        <v>282</v>
      </c>
      <c r="C31" s="75"/>
    </row>
    <row r="32" spans="1:3" s="431" customFormat="1" ht="12" customHeight="1">
      <c r="A32" s="425" t="s">
        <v>92</v>
      </c>
      <c r="B32" s="427" t="s">
        <v>283</v>
      </c>
      <c r="C32" s="293"/>
    </row>
    <row r="33" spans="1:3" s="431" customFormat="1" ht="12" customHeight="1" thickBot="1">
      <c r="A33" s="424" t="s">
        <v>93</v>
      </c>
      <c r="B33" s="136" t="s">
        <v>284</v>
      </c>
      <c r="C33" s="82"/>
    </row>
    <row r="34" spans="1:3" s="343" customFormat="1" ht="12" customHeight="1" thickBot="1">
      <c r="A34" s="191" t="s">
        <v>23</v>
      </c>
      <c r="B34" s="119" t="s">
        <v>367</v>
      </c>
      <c r="C34" s="318"/>
    </row>
    <row r="35" spans="1:3" s="343" customFormat="1" ht="12" customHeight="1" thickBot="1">
      <c r="A35" s="191" t="s">
        <v>24</v>
      </c>
      <c r="B35" s="119" t="s">
        <v>398</v>
      </c>
      <c r="C35" s="335"/>
    </row>
    <row r="36" spans="1:3" s="343" customFormat="1" ht="12" customHeight="1" thickBot="1">
      <c r="A36" s="183" t="s">
        <v>25</v>
      </c>
      <c r="B36" s="119" t="s">
        <v>518</v>
      </c>
      <c r="C36" s="336">
        <f>+C8+C20+C25+C26+C30+C34+C35</f>
        <v>12704969</v>
      </c>
    </row>
    <row r="37" spans="1:3" s="343" customFormat="1" ht="12" customHeight="1" thickBot="1">
      <c r="A37" s="212" t="s">
        <v>26</v>
      </c>
      <c r="B37" s="119" t="s">
        <v>400</v>
      </c>
      <c r="C37" s="336">
        <f>+C38+C39+C40</f>
        <v>396242804</v>
      </c>
    </row>
    <row r="38" spans="1:3" s="343" customFormat="1" ht="12" customHeight="1">
      <c r="A38" s="425" t="s">
        <v>401</v>
      </c>
      <c r="B38" s="426" t="s">
        <v>229</v>
      </c>
      <c r="C38" s="75">
        <v>2710987</v>
      </c>
    </row>
    <row r="39" spans="1:3" s="343" customFormat="1" ht="12" customHeight="1">
      <c r="A39" s="425" t="s">
        <v>402</v>
      </c>
      <c r="B39" s="427" t="s">
        <v>2</v>
      </c>
      <c r="C39" s="293"/>
    </row>
    <row r="40" spans="1:3" s="431" customFormat="1" ht="12" customHeight="1" thickBot="1">
      <c r="A40" s="424" t="s">
        <v>403</v>
      </c>
      <c r="B40" s="136" t="s">
        <v>404</v>
      </c>
      <c r="C40" s="82">
        <v>393531817</v>
      </c>
    </row>
    <row r="41" spans="1:3" s="431" customFormat="1" ht="15" customHeight="1" thickBot="1">
      <c r="A41" s="212" t="s">
        <v>27</v>
      </c>
      <c r="B41" s="213" t="s">
        <v>405</v>
      </c>
      <c r="C41" s="339">
        <f>+C36+C37</f>
        <v>408947773</v>
      </c>
    </row>
    <row r="42" spans="1:3" s="431" customFormat="1" ht="15" customHeight="1">
      <c r="A42" s="214"/>
      <c r="B42" s="215"/>
      <c r="C42" s="337"/>
    </row>
    <row r="43" spans="1:3" ht="13.5" thickBot="1">
      <c r="A43" s="216"/>
      <c r="B43" s="217"/>
      <c r="C43" s="338"/>
    </row>
    <row r="44" spans="1:3" s="430" customFormat="1" ht="16.5" customHeight="1" thickBot="1">
      <c r="A44" s="218"/>
      <c r="B44" s="219" t="s">
        <v>57</v>
      </c>
      <c r="C44" s="339"/>
    </row>
    <row r="45" spans="1:3" s="432" customFormat="1" ht="12" customHeight="1" thickBot="1">
      <c r="A45" s="191" t="s">
        <v>18</v>
      </c>
      <c r="B45" s="119" t="s">
        <v>406</v>
      </c>
      <c r="C45" s="292">
        <f>SUM(C46:C50)</f>
        <v>402341233</v>
      </c>
    </row>
    <row r="46" spans="1:3" ht="12" customHeight="1">
      <c r="A46" s="424" t="s">
        <v>98</v>
      </c>
      <c r="B46" s="9" t="s">
        <v>49</v>
      </c>
      <c r="C46" s="75">
        <v>291363274</v>
      </c>
    </row>
    <row r="47" spans="1:3" ht="12" customHeight="1">
      <c r="A47" s="424" t="s">
        <v>99</v>
      </c>
      <c r="B47" s="8" t="s">
        <v>181</v>
      </c>
      <c r="C47" s="78">
        <v>46096969</v>
      </c>
    </row>
    <row r="48" spans="1:3" ht="12" customHeight="1">
      <c r="A48" s="424" t="s">
        <v>100</v>
      </c>
      <c r="B48" s="8" t="s">
        <v>138</v>
      </c>
      <c r="C48" s="78">
        <v>64880990</v>
      </c>
    </row>
    <row r="49" spans="1:3" ht="12" customHeight="1">
      <c r="A49" s="424" t="s">
        <v>101</v>
      </c>
      <c r="B49" s="8" t="s">
        <v>182</v>
      </c>
      <c r="C49" s="78"/>
    </row>
    <row r="50" spans="1:3" ht="12" customHeight="1" thickBot="1">
      <c r="A50" s="424" t="s">
        <v>146</v>
      </c>
      <c r="B50" s="8" t="s">
        <v>183</v>
      </c>
      <c r="C50" s="78"/>
    </row>
    <row r="51" spans="1:3" ht="12" customHeight="1" thickBot="1">
      <c r="A51" s="191" t="s">
        <v>19</v>
      </c>
      <c r="B51" s="119" t="s">
        <v>407</v>
      </c>
      <c r="C51" s="292">
        <f>SUM(C52:C54)</f>
        <v>6606540</v>
      </c>
    </row>
    <row r="52" spans="1:3" s="432" customFormat="1" ht="12" customHeight="1">
      <c r="A52" s="424" t="s">
        <v>104</v>
      </c>
      <c r="B52" s="9" t="s">
        <v>223</v>
      </c>
      <c r="C52" s="75">
        <v>552450</v>
      </c>
    </row>
    <row r="53" spans="1:3" ht="12" customHeight="1">
      <c r="A53" s="424" t="s">
        <v>105</v>
      </c>
      <c r="B53" s="8" t="s">
        <v>185</v>
      </c>
      <c r="C53" s="78">
        <v>6054090</v>
      </c>
    </row>
    <row r="54" spans="1:3" ht="12" customHeight="1">
      <c r="A54" s="424" t="s">
        <v>106</v>
      </c>
      <c r="B54" s="8" t="s">
        <v>58</v>
      </c>
      <c r="C54" s="78"/>
    </row>
    <row r="55" spans="1:3" ht="12" customHeight="1" thickBot="1">
      <c r="A55" s="424" t="s">
        <v>107</v>
      </c>
      <c r="B55" s="8" t="s">
        <v>515</v>
      </c>
      <c r="C55" s="78"/>
    </row>
    <row r="56" spans="1:3" ht="15" customHeight="1" thickBot="1">
      <c r="A56" s="191" t="s">
        <v>20</v>
      </c>
      <c r="B56" s="119" t="s">
        <v>13</v>
      </c>
      <c r="C56" s="318"/>
    </row>
    <row r="57" spans="1:3" ht="13.5" thickBot="1">
      <c r="A57" s="191" t="s">
        <v>21</v>
      </c>
      <c r="B57" s="220" t="s">
        <v>520</v>
      </c>
      <c r="C57" s="340">
        <f>+C45+C51+C56</f>
        <v>408947773</v>
      </c>
    </row>
    <row r="58" ht="15" customHeight="1" thickBot="1">
      <c r="C58" s="594">
        <f>C41-C57</f>
        <v>0</v>
      </c>
    </row>
    <row r="59" spans="1:3" ht="14.25" customHeight="1" thickBot="1">
      <c r="A59" s="223" t="s">
        <v>510</v>
      </c>
      <c r="B59" s="224"/>
      <c r="C59" s="116">
        <v>59</v>
      </c>
    </row>
    <row r="60" spans="1:3" ht="13.5" thickBot="1">
      <c r="A60" s="223" t="s">
        <v>202</v>
      </c>
      <c r="B60" s="224"/>
      <c r="C60" s="116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</sheetPr>
  <dimension ref="A1:C60"/>
  <sheetViews>
    <sheetView zoomScale="120" zoomScaleNormal="120" workbookViewId="0" topLeftCell="A19">
      <selection activeCell="E53" sqref="E53"/>
    </sheetView>
  </sheetViews>
  <sheetFormatPr defaultColWidth="9.00390625" defaultRowHeight="12.75"/>
  <cols>
    <col min="1" max="1" width="13.875" style="221" customWidth="1"/>
    <col min="2" max="2" width="79.125" style="222" customWidth="1"/>
    <col min="3" max="3" width="25.00390625" style="222" customWidth="1"/>
    <col min="4" max="16384" width="9.375" style="222" customWidth="1"/>
  </cols>
  <sheetData>
    <row r="1" spans="1:3" s="202" customFormat="1" ht="21" customHeight="1" thickBot="1">
      <c r="A1" s="201"/>
      <c r="B1" s="203"/>
      <c r="C1" s="561" t="str">
        <f>CONCATENATE(ALAPADATOK!P17,"2. melléklet ",ALAPADATOK!A7," ",ALAPADATOK!B7," ",ALAPADATOK!C7," ",ALAPADATOK!D7," ",ALAPADATOK!E7," ",ALAPADATOK!F7," ",ALAPADATOK!G7," ",ALAPADATOK!H7)</f>
        <v>9.5.2. melléklet a … / 2021 ( … ) önkormányzati rendelethez</v>
      </c>
    </row>
    <row r="2" spans="1:3" s="428" customFormat="1" ht="36">
      <c r="A2" s="381" t="s">
        <v>200</v>
      </c>
      <c r="B2" s="559" t="str">
        <f>CONCATENATE('KV_9.5.1.sz.mell'!B2)</f>
        <v>Solymári Óvoda-Bölcsőde</v>
      </c>
      <c r="C2" s="341"/>
    </row>
    <row r="3" spans="1:3" s="428" customFormat="1" ht="24.75" thickBot="1">
      <c r="A3" s="422" t="s">
        <v>199</v>
      </c>
      <c r="B3" s="560" t="s">
        <v>409</v>
      </c>
      <c r="C3" s="342" t="s">
        <v>60</v>
      </c>
    </row>
    <row r="4" spans="1:3" s="429" customFormat="1" ht="15.75" customHeight="1" thickBot="1">
      <c r="A4" s="204"/>
      <c r="B4" s="204"/>
      <c r="C4" s="205" t="str">
        <f>'KV_9.5.1.sz.mell'!C4</f>
        <v>Forintban!</v>
      </c>
    </row>
    <row r="5" spans="1:3" ht="13.5" thickBot="1">
      <c r="A5" s="382" t="s">
        <v>201</v>
      </c>
      <c r="B5" s="206" t="s">
        <v>553</v>
      </c>
      <c r="C5" s="207" t="s">
        <v>55</v>
      </c>
    </row>
    <row r="6" spans="1:3" s="430" customFormat="1" ht="12.75" customHeight="1" thickBot="1">
      <c r="A6" s="183"/>
      <c r="B6" s="184" t="s">
        <v>484</v>
      </c>
      <c r="C6" s="185" t="s">
        <v>485</v>
      </c>
    </row>
    <row r="7" spans="1:3" s="430" customFormat="1" ht="15.75" customHeight="1" thickBot="1">
      <c r="A7" s="208"/>
      <c r="B7" s="209" t="s">
        <v>56</v>
      </c>
      <c r="C7" s="210"/>
    </row>
    <row r="8" spans="1:3" s="343" customFormat="1" ht="12" customHeight="1" thickBot="1">
      <c r="A8" s="183" t="s">
        <v>18</v>
      </c>
      <c r="B8" s="211" t="s">
        <v>511</v>
      </c>
      <c r="C8" s="292">
        <f>SUM(C9:C19)</f>
        <v>0</v>
      </c>
    </row>
    <row r="9" spans="1:3" s="343" customFormat="1" ht="12" customHeight="1">
      <c r="A9" s="423" t="s">
        <v>98</v>
      </c>
      <c r="B9" s="10" t="s">
        <v>268</v>
      </c>
      <c r="C9" s="333"/>
    </row>
    <row r="10" spans="1:3" s="343" customFormat="1" ht="12" customHeight="1">
      <c r="A10" s="424" t="s">
        <v>99</v>
      </c>
      <c r="B10" s="8" t="s">
        <v>269</v>
      </c>
      <c r="C10" s="290"/>
    </row>
    <row r="11" spans="1:3" s="343" customFormat="1" ht="12" customHeight="1">
      <c r="A11" s="424" t="s">
        <v>100</v>
      </c>
      <c r="B11" s="8" t="s">
        <v>270</v>
      </c>
      <c r="C11" s="290"/>
    </row>
    <row r="12" spans="1:3" s="343" customFormat="1" ht="12" customHeight="1">
      <c r="A12" s="424" t="s">
        <v>101</v>
      </c>
      <c r="B12" s="8" t="s">
        <v>271</v>
      </c>
      <c r="C12" s="290"/>
    </row>
    <row r="13" spans="1:3" s="343" customFormat="1" ht="12" customHeight="1">
      <c r="A13" s="424" t="s">
        <v>146</v>
      </c>
      <c r="B13" s="8" t="s">
        <v>272</v>
      </c>
      <c r="C13" s="290"/>
    </row>
    <row r="14" spans="1:3" s="343" customFormat="1" ht="12" customHeight="1">
      <c r="A14" s="424" t="s">
        <v>102</v>
      </c>
      <c r="B14" s="8" t="s">
        <v>390</v>
      </c>
      <c r="C14" s="290"/>
    </row>
    <row r="15" spans="1:3" s="343" customFormat="1" ht="12" customHeight="1">
      <c r="A15" s="424" t="s">
        <v>103</v>
      </c>
      <c r="B15" s="7" t="s">
        <v>391</v>
      </c>
      <c r="C15" s="290"/>
    </row>
    <row r="16" spans="1:3" s="343" customFormat="1" ht="12" customHeight="1">
      <c r="A16" s="424" t="s">
        <v>113</v>
      </c>
      <c r="B16" s="8" t="s">
        <v>275</v>
      </c>
      <c r="C16" s="334"/>
    </row>
    <row r="17" spans="1:3" s="431" customFormat="1" ht="12" customHeight="1">
      <c r="A17" s="424" t="s">
        <v>114</v>
      </c>
      <c r="B17" s="8" t="s">
        <v>276</v>
      </c>
      <c r="C17" s="290"/>
    </row>
    <row r="18" spans="1:3" s="431" customFormat="1" ht="12" customHeight="1">
      <c r="A18" s="424" t="s">
        <v>115</v>
      </c>
      <c r="B18" s="8" t="s">
        <v>427</v>
      </c>
      <c r="C18" s="291"/>
    </row>
    <row r="19" spans="1:3" s="431" customFormat="1" ht="12" customHeight="1" thickBot="1">
      <c r="A19" s="424" t="s">
        <v>116</v>
      </c>
      <c r="B19" s="7" t="s">
        <v>277</v>
      </c>
      <c r="C19" s="291"/>
    </row>
    <row r="20" spans="1:3" s="343" customFormat="1" ht="12" customHeight="1" thickBot="1">
      <c r="A20" s="183" t="s">
        <v>19</v>
      </c>
      <c r="B20" s="211" t="s">
        <v>392</v>
      </c>
      <c r="C20" s="292">
        <f>SUM(C21:C23)</f>
        <v>0</v>
      </c>
    </row>
    <row r="21" spans="1:3" s="431" customFormat="1" ht="12" customHeight="1">
      <c r="A21" s="424" t="s">
        <v>104</v>
      </c>
      <c r="B21" s="9" t="s">
        <v>251</v>
      </c>
      <c r="C21" s="290"/>
    </row>
    <row r="22" spans="1:3" s="431" customFormat="1" ht="12" customHeight="1">
      <c r="A22" s="424" t="s">
        <v>105</v>
      </c>
      <c r="B22" s="8" t="s">
        <v>393</v>
      </c>
      <c r="C22" s="290"/>
    </row>
    <row r="23" spans="1:3" s="431" customFormat="1" ht="12" customHeight="1">
      <c r="A23" s="424" t="s">
        <v>106</v>
      </c>
      <c r="B23" s="8" t="s">
        <v>394</v>
      </c>
      <c r="C23" s="290"/>
    </row>
    <row r="24" spans="1:3" s="431" customFormat="1" ht="12" customHeight="1" thickBot="1">
      <c r="A24" s="424" t="s">
        <v>107</v>
      </c>
      <c r="B24" s="8" t="s">
        <v>516</v>
      </c>
      <c r="C24" s="290"/>
    </row>
    <row r="25" spans="1:3" s="431" customFormat="1" ht="12" customHeight="1" thickBot="1">
      <c r="A25" s="191" t="s">
        <v>20</v>
      </c>
      <c r="B25" s="119" t="s">
        <v>172</v>
      </c>
      <c r="C25" s="318"/>
    </row>
    <row r="26" spans="1:3" s="431" customFormat="1" ht="12" customHeight="1" thickBot="1">
      <c r="A26" s="191" t="s">
        <v>21</v>
      </c>
      <c r="B26" s="119" t="s">
        <v>395</v>
      </c>
      <c r="C26" s="292">
        <f>+C27+C28</f>
        <v>0</v>
      </c>
    </row>
    <row r="27" spans="1:3" s="431" customFormat="1" ht="12" customHeight="1">
      <c r="A27" s="425" t="s">
        <v>261</v>
      </c>
      <c r="B27" s="426" t="s">
        <v>393</v>
      </c>
      <c r="C27" s="75"/>
    </row>
    <row r="28" spans="1:3" s="431" customFormat="1" ht="12" customHeight="1">
      <c r="A28" s="425" t="s">
        <v>262</v>
      </c>
      <c r="B28" s="427" t="s">
        <v>396</v>
      </c>
      <c r="C28" s="293"/>
    </row>
    <row r="29" spans="1:3" s="431" customFormat="1" ht="12" customHeight="1" thickBot="1">
      <c r="A29" s="424" t="s">
        <v>263</v>
      </c>
      <c r="B29" s="136" t="s">
        <v>517</v>
      </c>
      <c r="C29" s="82"/>
    </row>
    <row r="30" spans="1:3" s="431" customFormat="1" ht="12" customHeight="1" thickBot="1">
      <c r="A30" s="191" t="s">
        <v>22</v>
      </c>
      <c r="B30" s="119" t="s">
        <v>397</v>
      </c>
      <c r="C30" s="292">
        <f>+C31+C32+C33</f>
        <v>0</v>
      </c>
    </row>
    <row r="31" spans="1:3" s="431" customFormat="1" ht="12" customHeight="1">
      <c r="A31" s="425" t="s">
        <v>91</v>
      </c>
      <c r="B31" s="426" t="s">
        <v>282</v>
      </c>
      <c r="C31" s="75"/>
    </row>
    <row r="32" spans="1:3" s="431" customFormat="1" ht="12" customHeight="1">
      <c r="A32" s="425" t="s">
        <v>92</v>
      </c>
      <c r="B32" s="427" t="s">
        <v>283</v>
      </c>
      <c r="C32" s="293"/>
    </row>
    <row r="33" spans="1:3" s="431" customFormat="1" ht="12" customHeight="1" thickBot="1">
      <c r="A33" s="424" t="s">
        <v>93</v>
      </c>
      <c r="B33" s="136" t="s">
        <v>284</v>
      </c>
      <c r="C33" s="82"/>
    </row>
    <row r="34" spans="1:3" s="343" customFormat="1" ht="12" customHeight="1" thickBot="1">
      <c r="A34" s="191" t="s">
        <v>23</v>
      </c>
      <c r="B34" s="119" t="s">
        <v>367</v>
      </c>
      <c r="C34" s="318"/>
    </row>
    <row r="35" spans="1:3" s="343" customFormat="1" ht="12" customHeight="1" thickBot="1">
      <c r="A35" s="191" t="s">
        <v>24</v>
      </c>
      <c r="B35" s="119" t="s">
        <v>398</v>
      </c>
      <c r="C35" s="335"/>
    </row>
    <row r="36" spans="1:3" s="343" customFormat="1" ht="12" customHeight="1" thickBot="1">
      <c r="A36" s="183" t="s">
        <v>25</v>
      </c>
      <c r="B36" s="119" t="s">
        <v>518</v>
      </c>
      <c r="C36" s="336">
        <f>+C8+C20+C25+C26+C30+C34+C35</f>
        <v>0</v>
      </c>
    </row>
    <row r="37" spans="1:3" s="343" customFormat="1" ht="12" customHeight="1" thickBot="1">
      <c r="A37" s="212" t="s">
        <v>26</v>
      </c>
      <c r="B37" s="119" t="s">
        <v>400</v>
      </c>
      <c r="C37" s="336">
        <f>+C38+C39+C40</f>
        <v>0</v>
      </c>
    </row>
    <row r="38" spans="1:3" s="343" customFormat="1" ht="12" customHeight="1">
      <c r="A38" s="425" t="s">
        <v>401</v>
      </c>
      <c r="B38" s="426" t="s">
        <v>229</v>
      </c>
      <c r="C38" s="75"/>
    </row>
    <row r="39" spans="1:3" s="343" customFormat="1" ht="12" customHeight="1">
      <c r="A39" s="425" t="s">
        <v>402</v>
      </c>
      <c r="B39" s="427" t="s">
        <v>2</v>
      </c>
      <c r="C39" s="293"/>
    </row>
    <row r="40" spans="1:3" s="431" customFormat="1" ht="12" customHeight="1" thickBot="1">
      <c r="A40" s="424" t="s">
        <v>403</v>
      </c>
      <c r="B40" s="136" t="s">
        <v>404</v>
      </c>
      <c r="C40" s="82"/>
    </row>
    <row r="41" spans="1:3" s="431" customFormat="1" ht="15" customHeight="1" thickBot="1">
      <c r="A41" s="212" t="s">
        <v>27</v>
      </c>
      <c r="B41" s="213" t="s">
        <v>405</v>
      </c>
      <c r="C41" s="339">
        <f>+C36+C37</f>
        <v>0</v>
      </c>
    </row>
    <row r="42" spans="1:3" s="431" customFormat="1" ht="15" customHeight="1">
      <c r="A42" s="214"/>
      <c r="B42" s="215"/>
      <c r="C42" s="337"/>
    </row>
    <row r="43" spans="1:3" ht="13.5" thickBot="1">
      <c r="A43" s="216"/>
      <c r="B43" s="217"/>
      <c r="C43" s="338"/>
    </row>
    <row r="44" spans="1:3" s="430" customFormat="1" ht="16.5" customHeight="1" thickBot="1">
      <c r="A44" s="218"/>
      <c r="B44" s="219" t="s">
        <v>57</v>
      </c>
      <c r="C44" s="339"/>
    </row>
    <row r="45" spans="1:3" s="432" customFormat="1" ht="12" customHeight="1" thickBot="1">
      <c r="A45" s="191" t="s">
        <v>18</v>
      </c>
      <c r="B45" s="119" t="s">
        <v>406</v>
      </c>
      <c r="C45" s="292">
        <f>SUM(C46:C50)</f>
        <v>0</v>
      </c>
    </row>
    <row r="46" spans="1:3" ht="12" customHeight="1">
      <c r="A46" s="424" t="s">
        <v>98</v>
      </c>
      <c r="B46" s="9" t="s">
        <v>49</v>
      </c>
      <c r="C46" s="75"/>
    </row>
    <row r="47" spans="1:3" ht="12" customHeight="1">
      <c r="A47" s="424" t="s">
        <v>99</v>
      </c>
      <c r="B47" s="8" t="s">
        <v>181</v>
      </c>
      <c r="C47" s="78"/>
    </row>
    <row r="48" spans="1:3" ht="12" customHeight="1">
      <c r="A48" s="424" t="s">
        <v>100</v>
      </c>
      <c r="B48" s="8" t="s">
        <v>138</v>
      </c>
      <c r="C48" s="78"/>
    </row>
    <row r="49" spans="1:3" ht="12" customHeight="1">
      <c r="A49" s="424" t="s">
        <v>101</v>
      </c>
      <c r="B49" s="8" t="s">
        <v>182</v>
      </c>
      <c r="C49" s="78"/>
    </row>
    <row r="50" spans="1:3" ht="12" customHeight="1" thickBot="1">
      <c r="A50" s="424" t="s">
        <v>146</v>
      </c>
      <c r="B50" s="8" t="s">
        <v>183</v>
      </c>
      <c r="C50" s="78"/>
    </row>
    <row r="51" spans="1:3" ht="12" customHeight="1" thickBot="1">
      <c r="A51" s="191" t="s">
        <v>19</v>
      </c>
      <c r="B51" s="119" t="s">
        <v>407</v>
      </c>
      <c r="C51" s="292">
        <f>SUM(C52:C54)</f>
        <v>0</v>
      </c>
    </row>
    <row r="52" spans="1:3" s="432" customFormat="1" ht="12" customHeight="1">
      <c r="A52" s="424" t="s">
        <v>104</v>
      </c>
      <c r="B52" s="9" t="s">
        <v>223</v>
      </c>
      <c r="C52" s="75"/>
    </row>
    <row r="53" spans="1:3" ht="12" customHeight="1">
      <c r="A53" s="424" t="s">
        <v>105</v>
      </c>
      <c r="B53" s="8" t="s">
        <v>185</v>
      </c>
      <c r="C53" s="78"/>
    </row>
    <row r="54" spans="1:3" ht="12" customHeight="1">
      <c r="A54" s="424" t="s">
        <v>106</v>
      </c>
      <c r="B54" s="8" t="s">
        <v>58</v>
      </c>
      <c r="C54" s="78"/>
    </row>
    <row r="55" spans="1:3" ht="12" customHeight="1" thickBot="1">
      <c r="A55" s="424" t="s">
        <v>107</v>
      </c>
      <c r="B55" s="8" t="s">
        <v>515</v>
      </c>
      <c r="C55" s="78"/>
    </row>
    <row r="56" spans="1:3" ht="15" customHeight="1" thickBot="1">
      <c r="A56" s="191" t="s">
        <v>20</v>
      </c>
      <c r="B56" s="119" t="s">
        <v>13</v>
      </c>
      <c r="C56" s="318"/>
    </row>
    <row r="57" spans="1:3" ht="13.5" thickBot="1">
      <c r="A57" s="191" t="s">
        <v>21</v>
      </c>
      <c r="B57" s="220" t="s">
        <v>520</v>
      </c>
      <c r="C57" s="340">
        <f>+C45+C51+C56</f>
        <v>0</v>
      </c>
    </row>
    <row r="58" ht="15" customHeight="1" thickBot="1">
      <c r="C58" s="594">
        <f>C41-C57</f>
        <v>0</v>
      </c>
    </row>
    <row r="59" spans="1:3" ht="14.25" customHeight="1" thickBot="1">
      <c r="A59" s="223" t="s">
        <v>510</v>
      </c>
      <c r="B59" s="224"/>
      <c r="C59" s="116">
        <v>0</v>
      </c>
    </row>
    <row r="60" spans="1:3" ht="13.5" thickBot="1">
      <c r="A60" s="223" t="s">
        <v>202</v>
      </c>
      <c r="B60" s="224"/>
      <c r="C60" s="116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</sheetPr>
  <dimension ref="A1:C60"/>
  <sheetViews>
    <sheetView zoomScale="120" zoomScaleNormal="120" workbookViewId="0" topLeftCell="A1">
      <selection activeCell="E16" sqref="E16"/>
    </sheetView>
  </sheetViews>
  <sheetFormatPr defaultColWidth="9.00390625" defaultRowHeight="12.75"/>
  <cols>
    <col min="1" max="1" width="13.875" style="221" customWidth="1"/>
    <col min="2" max="2" width="79.125" style="222" customWidth="1"/>
    <col min="3" max="3" width="25.00390625" style="222" customWidth="1"/>
    <col min="4" max="16384" width="9.375" style="222" customWidth="1"/>
  </cols>
  <sheetData>
    <row r="1" spans="1:3" s="202" customFormat="1" ht="21" customHeight="1" thickBot="1">
      <c r="A1" s="201"/>
      <c r="B1" s="203"/>
      <c r="C1" s="561" t="str">
        <f>CONCATENATE(ALAPADATOK!P17,"3. melléklet ",ALAPADATOK!A7," ",ALAPADATOK!B7," ",ALAPADATOK!C7," ",ALAPADATOK!D7," ",ALAPADATOK!E7," ",ALAPADATOK!F7," ",ALAPADATOK!G7," ",ALAPADATOK!H7)</f>
        <v>9.5.3. melléklet a … / 2021 ( … ) önkormányzati rendelethez</v>
      </c>
    </row>
    <row r="2" spans="1:3" s="428" customFormat="1" ht="36">
      <c r="A2" s="381" t="s">
        <v>200</v>
      </c>
      <c r="B2" s="559" t="str">
        <f>CONCATENATE('KV_9.5.2.sz.mell'!B2)</f>
        <v>Solymári Óvoda-Bölcsőde</v>
      </c>
      <c r="C2" s="341" t="s">
        <v>578</v>
      </c>
    </row>
    <row r="3" spans="1:3" s="428" customFormat="1" ht="24.75" thickBot="1">
      <c r="A3" s="422" t="s">
        <v>199</v>
      </c>
      <c r="B3" s="560" t="s">
        <v>521</v>
      </c>
      <c r="C3" s="342" t="s">
        <v>422</v>
      </c>
    </row>
    <row r="4" spans="1:3" s="429" customFormat="1" ht="15.75" customHeight="1" thickBot="1">
      <c r="A4" s="204"/>
      <c r="B4" s="204"/>
      <c r="C4" s="205" t="str">
        <f>'KV_9.5.2.sz.mell'!C4</f>
        <v>Forintban!</v>
      </c>
    </row>
    <row r="5" spans="1:3" ht="13.5" thickBot="1">
      <c r="A5" s="382" t="s">
        <v>201</v>
      </c>
      <c r="B5" s="206" t="s">
        <v>553</v>
      </c>
      <c r="C5" s="523" t="s">
        <v>55</v>
      </c>
    </row>
    <row r="6" spans="1:3" s="430" customFormat="1" ht="12.75" customHeight="1" thickBot="1">
      <c r="A6" s="183"/>
      <c r="B6" s="184" t="s">
        <v>484</v>
      </c>
      <c r="C6" s="185" t="s">
        <v>485</v>
      </c>
    </row>
    <row r="7" spans="1:3" s="430" customFormat="1" ht="15.75" customHeight="1" thickBot="1">
      <c r="A7" s="208"/>
      <c r="B7" s="209" t="s">
        <v>56</v>
      </c>
      <c r="C7" s="210"/>
    </row>
    <row r="8" spans="1:3" s="343" customFormat="1" ht="12" customHeight="1" thickBot="1">
      <c r="A8" s="183" t="s">
        <v>18</v>
      </c>
      <c r="B8" s="211" t="s">
        <v>511</v>
      </c>
      <c r="C8" s="292">
        <f>SUM(C9:C19)</f>
        <v>0</v>
      </c>
    </row>
    <row r="9" spans="1:3" s="343" customFormat="1" ht="12" customHeight="1">
      <c r="A9" s="423" t="s">
        <v>98</v>
      </c>
      <c r="B9" s="10" t="s">
        <v>268</v>
      </c>
      <c r="C9" s="333"/>
    </row>
    <row r="10" spans="1:3" s="343" customFormat="1" ht="12" customHeight="1">
      <c r="A10" s="424" t="s">
        <v>99</v>
      </c>
      <c r="B10" s="8" t="s">
        <v>269</v>
      </c>
      <c r="C10" s="290"/>
    </row>
    <row r="11" spans="1:3" s="343" customFormat="1" ht="12" customHeight="1">
      <c r="A11" s="424" t="s">
        <v>100</v>
      </c>
      <c r="B11" s="8" t="s">
        <v>270</v>
      </c>
      <c r="C11" s="290"/>
    </row>
    <row r="12" spans="1:3" s="343" customFormat="1" ht="12" customHeight="1">
      <c r="A12" s="424" t="s">
        <v>101</v>
      </c>
      <c r="B12" s="8" t="s">
        <v>271</v>
      </c>
      <c r="C12" s="290"/>
    </row>
    <row r="13" spans="1:3" s="343" customFormat="1" ht="12" customHeight="1">
      <c r="A13" s="424" t="s">
        <v>146</v>
      </c>
      <c r="B13" s="8" t="s">
        <v>272</v>
      </c>
      <c r="C13" s="290"/>
    </row>
    <row r="14" spans="1:3" s="343" customFormat="1" ht="12" customHeight="1">
      <c r="A14" s="424" t="s">
        <v>102</v>
      </c>
      <c r="B14" s="8" t="s">
        <v>390</v>
      </c>
      <c r="C14" s="290"/>
    </row>
    <row r="15" spans="1:3" s="343" customFormat="1" ht="12" customHeight="1">
      <c r="A15" s="424" t="s">
        <v>103</v>
      </c>
      <c r="B15" s="7" t="s">
        <v>391</v>
      </c>
      <c r="C15" s="290"/>
    </row>
    <row r="16" spans="1:3" s="343" customFormat="1" ht="12" customHeight="1">
      <c r="A16" s="424" t="s">
        <v>113</v>
      </c>
      <c r="B16" s="8" t="s">
        <v>275</v>
      </c>
      <c r="C16" s="334"/>
    </row>
    <row r="17" spans="1:3" s="431" customFormat="1" ht="12" customHeight="1">
      <c r="A17" s="424" t="s">
        <v>114</v>
      </c>
      <c r="B17" s="8" t="s">
        <v>276</v>
      </c>
      <c r="C17" s="290"/>
    </row>
    <row r="18" spans="1:3" s="431" customFormat="1" ht="12" customHeight="1">
      <c r="A18" s="424" t="s">
        <v>115</v>
      </c>
      <c r="B18" s="8" t="s">
        <v>427</v>
      </c>
      <c r="C18" s="291"/>
    </row>
    <row r="19" spans="1:3" s="431" customFormat="1" ht="12" customHeight="1" thickBot="1">
      <c r="A19" s="424" t="s">
        <v>116</v>
      </c>
      <c r="B19" s="7" t="s">
        <v>277</v>
      </c>
      <c r="C19" s="291"/>
    </row>
    <row r="20" spans="1:3" s="343" customFormat="1" ht="12" customHeight="1" thickBot="1">
      <c r="A20" s="183" t="s">
        <v>19</v>
      </c>
      <c r="B20" s="211" t="s">
        <v>392</v>
      </c>
      <c r="C20" s="292">
        <f>SUM(C21:C23)</f>
        <v>0</v>
      </c>
    </row>
    <row r="21" spans="1:3" s="431" customFormat="1" ht="12" customHeight="1">
      <c r="A21" s="424" t="s">
        <v>104</v>
      </c>
      <c r="B21" s="9" t="s">
        <v>251</v>
      </c>
      <c r="C21" s="290"/>
    </row>
    <row r="22" spans="1:3" s="431" customFormat="1" ht="12" customHeight="1">
      <c r="A22" s="424" t="s">
        <v>105</v>
      </c>
      <c r="B22" s="8" t="s">
        <v>393</v>
      </c>
      <c r="C22" s="290"/>
    </row>
    <row r="23" spans="1:3" s="431" customFormat="1" ht="12" customHeight="1">
      <c r="A23" s="424" t="s">
        <v>106</v>
      </c>
      <c r="B23" s="8" t="s">
        <v>394</v>
      </c>
      <c r="C23" s="290"/>
    </row>
    <row r="24" spans="1:3" s="431" customFormat="1" ht="12" customHeight="1" thickBot="1">
      <c r="A24" s="424" t="s">
        <v>107</v>
      </c>
      <c r="B24" s="8" t="s">
        <v>516</v>
      </c>
      <c r="C24" s="290"/>
    </row>
    <row r="25" spans="1:3" s="431" customFormat="1" ht="12" customHeight="1" thickBot="1">
      <c r="A25" s="191" t="s">
        <v>20</v>
      </c>
      <c r="B25" s="119" t="s">
        <v>172</v>
      </c>
      <c r="C25" s="318"/>
    </row>
    <row r="26" spans="1:3" s="431" customFormat="1" ht="12" customHeight="1" thickBot="1">
      <c r="A26" s="191" t="s">
        <v>21</v>
      </c>
      <c r="B26" s="119" t="s">
        <v>395</v>
      </c>
      <c r="C26" s="292">
        <f>+C27+C28</f>
        <v>0</v>
      </c>
    </row>
    <row r="27" spans="1:3" s="431" customFormat="1" ht="12" customHeight="1">
      <c r="A27" s="425" t="s">
        <v>261</v>
      </c>
      <c r="B27" s="426" t="s">
        <v>393</v>
      </c>
      <c r="C27" s="75"/>
    </row>
    <row r="28" spans="1:3" s="431" customFormat="1" ht="12" customHeight="1">
      <c r="A28" s="425" t="s">
        <v>262</v>
      </c>
      <c r="B28" s="427" t="s">
        <v>396</v>
      </c>
      <c r="C28" s="293"/>
    </row>
    <row r="29" spans="1:3" s="431" customFormat="1" ht="12" customHeight="1" thickBot="1">
      <c r="A29" s="424" t="s">
        <v>263</v>
      </c>
      <c r="B29" s="136" t="s">
        <v>517</v>
      </c>
      <c r="C29" s="82"/>
    </row>
    <row r="30" spans="1:3" s="431" customFormat="1" ht="12" customHeight="1" thickBot="1">
      <c r="A30" s="191" t="s">
        <v>22</v>
      </c>
      <c r="B30" s="119" t="s">
        <v>397</v>
      </c>
      <c r="C30" s="292">
        <f>+C31+C32+C33</f>
        <v>0</v>
      </c>
    </row>
    <row r="31" spans="1:3" s="431" customFormat="1" ht="12" customHeight="1">
      <c r="A31" s="425" t="s">
        <v>91</v>
      </c>
      <c r="B31" s="426" t="s">
        <v>282</v>
      </c>
      <c r="C31" s="75"/>
    </row>
    <row r="32" spans="1:3" s="431" customFormat="1" ht="12" customHeight="1">
      <c r="A32" s="425" t="s">
        <v>92</v>
      </c>
      <c r="B32" s="427" t="s">
        <v>283</v>
      </c>
      <c r="C32" s="293"/>
    </row>
    <row r="33" spans="1:3" s="431" customFormat="1" ht="12" customHeight="1" thickBot="1">
      <c r="A33" s="424" t="s">
        <v>93</v>
      </c>
      <c r="B33" s="136" t="s">
        <v>284</v>
      </c>
      <c r="C33" s="82"/>
    </row>
    <row r="34" spans="1:3" s="343" customFormat="1" ht="12" customHeight="1" thickBot="1">
      <c r="A34" s="191" t="s">
        <v>23</v>
      </c>
      <c r="B34" s="119" t="s">
        <v>367</v>
      </c>
      <c r="C34" s="318"/>
    </row>
    <row r="35" spans="1:3" s="343" customFormat="1" ht="12" customHeight="1" thickBot="1">
      <c r="A35" s="191" t="s">
        <v>24</v>
      </c>
      <c r="B35" s="119" t="s">
        <v>398</v>
      </c>
      <c r="C35" s="335"/>
    </row>
    <row r="36" spans="1:3" s="343" customFormat="1" ht="12" customHeight="1" thickBot="1">
      <c r="A36" s="183" t="s">
        <v>25</v>
      </c>
      <c r="B36" s="119" t="s">
        <v>518</v>
      </c>
      <c r="C36" s="336">
        <f>+C8+C20+C25+C26+C30+C34+C35</f>
        <v>0</v>
      </c>
    </row>
    <row r="37" spans="1:3" s="343" customFormat="1" ht="12" customHeight="1" thickBot="1">
      <c r="A37" s="212" t="s">
        <v>26</v>
      </c>
      <c r="B37" s="119" t="s">
        <v>400</v>
      </c>
      <c r="C37" s="336">
        <f>+C38+C39+C40</f>
        <v>0</v>
      </c>
    </row>
    <row r="38" spans="1:3" s="343" customFormat="1" ht="12" customHeight="1">
      <c r="A38" s="425" t="s">
        <v>401</v>
      </c>
      <c r="B38" s="426" t="s">
        <v>229</v>
      </c>
      <c r="C38" s="75"/>
    </row>
    <row r="39" spans="1:3" s="343" customFormat="1" ht="12" customHeight="1">
      <c r="A39" s="425" t="s">
        <v>402</v>
      </c>
      <c r="B39" s="427" t="s">
        <v>2</v>
      </c>
      <c r="C39" s="293"/>
    </row>
    <row r="40" spans="1:3" s="431" customFormat="1" ht="12" customHeight="1" thickBot="1">
      <c r="A40" s="424" t="s">
        <v>403</v>
      </c>
      <c r="B40" s="136" t="s">
        <v>404</v>
      </c>
      <c r="C40" s="82"/>
    </row>
    <row r="41" spans="1:3" s="431" customFormat="1" ht="15" customHeight="1" thickBot="1">
      <c r="A41" s="212" t="s">
        <v>27</v>
      </c>
      <c r="B41" s="213" t="s">
        <v>405</v>
      </c>
      <c r="C41" s="339">
        <f>+C36+C37</f>
        <v>0</v>
      </c>
    </row>
    <row r="42" spans="1:3" s="431" customFormat="1" ht="15" customHeight="1">
      <c r="A42" s="214"/>
      <c r="B42" s="215"/>
      <c r="C42" s="337"/>
    </row>
    <row r="43" spans="1:3" ht="13.5" thickBot="1">
      <c r="A43" s="216"/>
      <c r="B43" s="217"/>
      <c r="C43" s="338"/>
    </row>
    <row r="44" spans="1:3" s="430" customFormat="1" ht="16.5" customHeight="1" thickBot="1">
      <c r="A44" s="218"/>
      <c r="B44" s="219" t="s">
        <v>57</v>
      </c>
      <c r="C44" s="339"/>
    </row>
    <row r="45" spans="1:3" s="432" customFormat="1" ht="12" customHeight="1" thickBot="1">
      <c r="A45" s="191" t="s">
        <v>18</v>
      </c>
      <c r="B45" s="119" t="s">
        <v>406</v>
      </c>
      <c r="C45" s="292">
        <f>SUM(C46:C50)</f>
        <v>0</v>
      </c>
    </row>
    <row r="46" spans="1:3" ht="12" customHeight="1">
      <c r="A46" s="424" t="s">
        <v>98</v>
      </c>
      <c r="B46" s="9" t="s">
        <v>49</v>
      </c>
      <c r="C46" s="75"/>
    </row>
    <row r="47" spans="1:3" ht="12" customHeight="1">
      <c r="A47" s="424" t="s">
        <v>99</v>
      </c>
      <c r="B47" s="8" t="s">
        <v>181</v>
      </c>
      <c r="C47" s="78"/>
    </row>
    <row r="48" spans="1:3" ht="12" customHeight="1">
      <c r="A48" s="424" t="s">
        <v>100</v>
      </c>
      <c r="B48" s="8" t="s">
        <v>138</v>
      </c>
      <c r="C48" s="78"/>
    </row>
    <row r="49" spans="1:3" ht="12" customHeight="1">
      <c r="A49" s="424" t="s">
        <v>101</v>
      </c>
      <c r="B49" s="8" t="s">
        <v>182</v>
      </c>
      <c r="C49" s="78"/>
    </row>
    <row r="50" spans="1:3" ht="12" customHeight="1" thickBot="1">
      <c r="A50" s="424" t="s">
        <v>146</v>
      </c>
      <c r="B50" s="8" t="s">
        <v>183</v>
      </c>
      <c r="C50" s="78"/>
    </row>
    <row r="51" spans="1:3" ht="12" customHeight="1" thickBot="1">
      <c r="A51" s="191" t="s">
        <v>19</v>
      </c>
      <c r="B51" s="119" t="s">
        <v>407</v>
      </c>
      <c r="C51" s="292">
        <f>SUM(C52:C54)</f>
        <v>0</v>
      </c>
    </row>
    <row r="52" spans="1:3" s="432" customFormat="1" ht="12" customHeight="1">
      <c r="A52" s="424" t="s">
        <v>104</v>
      </c>
      <c r="B52" s="9" t="s">
        <v>223</v>
      </c>
      <c r="C52" s="75"/>
    </row>
    <row r="53" spans="1:3" ht="12" customHeight="1">
      <c r="A53" s="424" t="s">
        <v>105</v>
      </c>
      <c r="B53" s="8" t="s">
        <v>185</v>
      </c>
      <c r="C53" s="78"/>
    </row>
    <row r="54" spans="1:3" ht="12" customHeight="1">
      <c r="A54" s="424" t="s">
        <v>106</v>
      </c>
      <c r="B54" s="8" t="s">
        <v>58</v>
      </c>
      <c r="C54" s="78"/>
    </row>
    <row r="55" spans="1:3" ht="12" customHeight="1" thickBot="1">
      <c r="A55" s="424" t="s">
        <v>107</v>
      </c>
      <c r="B55" s="8" t="s">
        <v>515</v>
      </c>
      <c r="C55" s="78"/>
    </row>
    <row r="56" spans="1:3" ht="15" customHeight="1" thickBot="1">
      <c r="A56" s="191" t="s">
        <v>20</v>
      </c>
      <c r="B56" s="119" t="s">
        <v>13</v>
      </c>
      <c r="C56" s="318"/>
    </row>
    <row r="57" spans="1:3" ht="13.5" thickBot="1">
      <c r="A57" s="191" t="s">
        <v>21</v>
      </c>
      <c r="B57" s="220" t="s">
        <v>520</v>
      </c>
      <c r="C57" s="340">
        <f>+C45+C51+C56</f>
        <v>0</v>
      </c>
    </row>
    <row r="58" ht="15" customHeight="1" thickBot="1">
      <c r="C58" s="594">
        <f>C41-C57</f>
        <v>0</v>
      </c>
    </row>
    <row r="59" spans="1:3" ht="14.25" customHeight="1" thickBot="1">
      <c r="A59" s="223" t="s">
        <v>510</v>
      </c>
      <c r="B59" s="224"/>
      <c r="C59" s="116">
        <v>0</v>
      </c>
    </row>
    <row r="60" spans="1:3" ht="13.5" thickBot="1">
      <c r="A60" s="223" t="s">
        <v>202</v>
      </c>
      <c r="B60" s="224"/>
      <c r="C60" s="116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</sheetPr>
  <dimension ref="A2:G29"/>
  <sheetViews>
    <sheetView zoomScale="120" zoomScaleNormal="120" workbookViewId="0" topLeftCell="A5">
      <selection activeCell="D18" sqref="D18"/>
    </sheetView>
  </sheetViews>
  <sheetFormatPr defaultColWidth="9.00390625" defaultRowHeight="12.75"/>
  <cols>
    <col min="1" max="1" width="5.50390625" style="45" customWidth="1"/>
    <col min="2" max="2" width="33.125" style="45" customWidth="1"/>
    <col min="3" max="3" width="12.375" style="45" customWidth="1"/>
    <col min="4" max="4" width="11.50390625" style="45" customWidth="1"/>
    <col min="5" max="5" width="11.375" style="45" customWidth="1"/>
    <col min="6" max="6" width="11.00390625" style="45" customWidth="1"/>
    <col min="7" max="7" width="14.375" style="45" customWidth="1"/>
    <col min="8" max="16384" width="9.375" style="45" customWidth="1"/>
  </cols>
  <sheetData>
    <row r="2" spans="2:7" ht="15">
      <c r="B2" s="801" t="str">
        <f>CONCATENATE("10. melléklet ",ALAPADATOK!A7," ",ALAPADATOK!B7," ",ALAPADATOK!C7," ",ALAPADATOK!D7," ",ALAPADATOK!E7," ",ALAPADATOK!F7," ",ALAPADATOK!G7," ",ALAPADATOK!H7)</f>
        <v>10. melléklet a … / 2021 ( … ) önkormányzati rendelethez</v>
      </c>
      <c r="C2" s="801"/>
      <c r="D2" s="801"/>
      <c r="E2" s="801"/>
      <c r="F2" s="801"/>
      <c r="G2" s="801"/>
    </row>
    <row r="4" spans="1:7" ht="43.5" customHeight="1">
      <c r="A4" s="800" t="s">
        <v>3</v>
      </c>
      <c r="B4" s="800"/>
      <c r="C4" s="800"/>
      <c r="D4" s="800"/>
      <c r="E4" s="800"/>
      <c r="F4" s="800"/>
      <c r="G4" s="800"/>
    </row>
    <row r="6" spans="1:7" s="153" customFormat="1" ht="27" customHeight="1">
      <c r="A6" s="643" t="s">
        <v>206</v>
      </c>
      <c r="C6" s="799" t="s">
        <v>686</v>
      </c>
      <c r="D6" s="799"/>
      <c r="E6" s="799"/>
      <c r="F6" s="799"/>
      <c r="G6" s="799"/>
    </row>
    <row r="7" s="153" customFormat="1" ht="15.75"/>
    <row r="8" spans="1:6" s="153" customFormat="1" ht="24.75" customHeight="1">
      <c r="A8" s="643" t="s">
        <v>207</v>
      </c>
      <c r="C8" s="799" t="s">
        <v>705</v>
      </c>
      <c r="D8" s="799"/>
      <c r="E8" s="799"/>
      <c r="F8" s="799"/>
    </row>
    <row r="9" s="154" customFormat="1" ht="12.75"/>
    <row r="10" spans="1:7" s="155" customFormat="1" ht="15" customHeight="1">
      <c r="A10" s="238" t="s">
        <v>706</v>
      </c>
      <c r="B10" s="237"/>
      <c r="C10" s="237"/>
      <c r="D10" s="237"/>
      <c r="E10" s="237"/>
      <c r="F10" s="237"/>
      <c r="G10" s="237"/>
    </row>
    <row r="11" spans="1:7" s="155" customFormat="1" ht="15" customHeight="1" thickBot="1">
      <c r="A11" s="238" t="s">
        <v>707</v>
      </c>
      <c r="B11" s="237"/>
      <c r="C11" s="237"/>
      <c r="D11" s="237"/>
      <c r="E11" s="237"/>
      <c r="F11" s="237"/>
      <c r="G11" s="635" t="str">
        <f>'KV_9.3.3.sz.mell'!C4</f>
        <v>Forintban!</v>
      </c>
    </row>
    <row r="12" spans="1:7" s="74" customFormat="1" ht="42" customHeight="1" thickBot="1">
      <c r="A12" s="180" t="s">
        <v>16</v>
      </c>
      <c r="B12" s="181" t="s">
        <v>208</v>
      </c>
      <c r="C12" s="181" t="s">
        <v>209</v>
      </c>
      <c r="D12" s="181" t="s">
        <v>210</v>
      </c>
      <c r="E12" s="181" t="s">
        <v>211</v>
      </c>
      <c r="F12" s="181" t="s">
        <v>212</v>
      </c>
      <c r="G12" s="182" t="s">
        <v>53</v>
      </c>
    </row>
    <row r="13" spans="1:7" ht="24" customHeight="1">
      <c r="A13" s="226" t="s">
        <v>18</v>
      </c>
      <c r="B13" s="189" t="s">
        <v>213</v>
      </c>
      <c r="C13" s="156"/>
      <c r="D13" s="156"/>
      <c r="E13" s="156"/>
      <c r="F13" s="156"/>
      <c r="G13" s="227">
        <f>SUM(C13:F13)</f>
        <v>0</v>
      </c>
    </row>
    <row r="14" spans="1:7" ht="24" customHeight="1">
      <c r="A14" s="228" t="s">
        <v>19</v>
      </c>
      <c r="B14" s="190" t="s">
        <v>214</v>
      </c>
      <c r="C14" s="157"/>
      <c r="D14" s="157"/>
      <c r="E14" s="157"/>
      <c r="F14" s="157"/>
      <c r="G14" s="229">
        <f aca="true" t="shared" si="0" ref="G14:G19">SUM(C14:F14)</f>
        <v>0</v>
      </c>
    </row>
    <row r="15" spans="1:7" ht="24" customHeight="1">
      <c r="A15" s="228" t="s">
        <v>20</v>
      </c>
      <c r="B15" s="190" t="s">
        <v>215</v>
      </c>
      <c r="C15" s="157"/>
      <c r="D15" s="157"/>
      <c r="E15" s="157"/>
      <c r="F15" s="157"/>
      <c r="G15" s="229">
        <f t="shared" si="0"/>
        <v>0</v>
      </c>
    </row>
    <row r="16" spans="1:7" ht="24" customHeight="1">
      <c r="A16" s="228" t="s">
        <v>21</v>
      </c>
      <c r="B16" s="190" t="s">
        <v>216</v>
      </c>
      <c r="C16" s="157"/>
      <c r="D16" s="157"/>
      <c r="E16" s="157"/>
      <c r="F16" s="157"/>
      <c r="G16" s="229">
        <f t="shared" si="0"/>
        <v>0</v>
      </c>
    </row>
    <row r="17" spans="1:7" ht="24" customHeight="1">
      <c r="A17" s="228" t="s">
        <v>22</v>
      </c>
      <c r="B17" s="190" t="s">
        <v>217</v>
      </c>
      <c r="C17" s="157"/>
      <c r="D17" s="157"/>
      <c r="E17" s="157"/>
      <c r="F17" s="157"/>
      <c r="G17" s="229">
        <f t="shared" si="0"/>
        <v>0</v>
      </c>
    </row>
    <row r="18" spans="1:7" ht="24" customHeight="1" thickBot="1">
      <c r="A18" s="230" t="s">
        <v>23</v>
      </c>
      <c r="B18" s="231" t="s">
        <v>218</v>
      </c>
      <c r="C18" s="158"/>
      <c r="D18" s="158"/>
      <c r="E18" s="158">
        <v>191085</v>
      </c>
      <c r="F18" s="158"/>
      <c r="G18" s="232">
        <f t="shared" si="0"/>
        <v>191085</v>
      </c>
    </row>
    <row r="19" spans="1:7" s="159" customFormat="1" ht="24" customHeight="1" thickBot="1">
      <c r="A19" s="233" t="s">
        <v>24</v>
      </c>
      <c r="B19" s="234" t="s">
        <v>53</v>
      </c>
      <c r="C19" s="235">
        <f>SUM(C13:C18)</f>
        <v>0</v>
      </c>
      <c r="D19" s="235">
        <f>SUM(D13:D18)</f>
        <v>0</v>
      </c>
      <c r="E19" s="235">
        <f>SUM(E13:E18)</f>
        <v>191085</v>
      </c>
      <c r="F19" s="235">
        <f>SUM(F13:F18)</f>
        <v>0</v>
      </c>
      <c r="G19" s="236">
        <f t="shared" si="0"/>
        <v>191085</v>
      </c>
    </row>
    <row r="20" spans="1:7" s="154" customFormat="1" ht="12.75">
      <c r="A20" s="200"/>
      <c r="B20" s="200"/>
      <c r="C20" s="200"/>
      <c r="D20" s="200"/>
      <c r="E20" s="200"/>
      <c r="F20" s="200"/>
      <c r="G20" s="200"/>
    </row>
    <row r="21" spans="1:7" s="154" customFormat="1" ht="12.75">
      <c r="A21" s="200"/>
      <c r="B21" s="200"/>
      <c r="C21" s="200"/>
      <c r="D21" s="200"/>
      <c r="E21" s="200"/>
      <c r="F21" s="200"/>
      <c r="G21" s="200"/>
    </row>
    <row r="22" spans="1:7" s="154" customFormat="1" ht="12.75">
      <c r="A22" s="200"/>
      <c r="B22" s="200"/>
      <c r="C22" s="200"/>
      <c r="D22" s="200"/>
      <c r="E22" s="200"/>
      <c r="F22" s="200"/>
      <c r="G22" s="200"/>
    </row>
    <row r="23" spans="1:7" s="154" customFormat="1" ht="15.75">
      <c r="A23" s="153"/>
      <c r="F23" s="200"/>
      <c r="G23" s="200"/>
    </row>
    <row r="24" spans="6:7" s="154" customFormat="1" ht="12.75">
      <c r="F24" s="200"/>
      <c r="G24" s="200"/>
    </row>
    <row r="25" spans="1:7" ht="12.75">
      <c r="A25" s="200"/>
      <c r="B25" s="200"/>
      <c r="C25" s="200"/>
      <c r="D25" s="200"/>
      <c r="E25" s="200"/>
      <c r="F25" s="200"/>
      <c r="G25" s="200"/>
    </row>
    <row r="26" spans="1:7" ht="12.75">
      <c r="A26" s="200"/>
      <c r="B26" s="200"/>
      <c r="C26" s="725"/>
      <c r="D26" s="725"/>
      <c r="E26" s="725"/>
      <c r="F26" s="725"/>
      <c r="G26" s="200"/>
    </row>
    <row r="27" spans="1:7" ht="13.5">
      <c r="A27" s="200"/>
      <c r="B27" s="200"/>
      <c r="C27" s="723"/>
      <c r="D27" s="724"/>
      <c r="E27" s="724"/>
      <c r="F27" s="723"/>
      <c r="G27" s="200"/>
    </row>
    <row r="28" spans="3:6" ht="13.5">
      <c r="C28" s="160"/>
      <c r="D28" s="161"/>
      <c r="E28" s="161"/>
      <c r="F28" s="160"/>
    </row>
    <row r="29" spans="3:6" ht="13.5">
      <c r="C29" s="160"/>
      <c r="D29" s="161"/>
      <c r="E29" s="161"/>
      <c r="F29" s="160"/>
    </row>
  </sheetData>
  <sheetProtection/>
  <mergeCells count="4">
    <mergeCell ref="C6:G6"/>
    <mergeCell ref="C8:F8"/>
    <mergeCell ref="A4:G4"/>
    <mergeCell ref="B2:G2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</sheetPr>
  <dimension ref="A1:G170"/>
  <sheetViews>
    <sheetView zoomScale="120" zoomScaleNormal="120" zoomScaleSheetLayoutView="100" workbookViewId="0" topLeftCell="A1">
      <selection activeCell="J24" sqref="J24"/>
    </sheetView>
  </sheetViews>
  <sheetFormatPr defaultColWidth="9.00390625" defaultRowHeight="12.75"/>
  <cols>
    <col min="1" max="1" width="9.00390625" style="357" customWidth="1"/>
    <col min="2" max="2" width="75.875" style="357" customWidth="1"/>
    <col min="3" max="3" width="15.50390625" style="358" customWidth="1"/>
    <col min="4" max="5" width="15.50390625" style="357" customWidth="1"/>
    <col min="6" max="6" width="9.00390625" style="37" customWidth="1"/>
    <col min="7" max="16384" width="9.375" style="37" customWidth="1"/>
  </cols>
  <sheetData>
    <row r="1" spans="1:5" ht="14.25" customHeight="1">
      <c r="A1" s="596"/>
      <c r="B1" s="596"/>
      <c r="C1" s="600"/>
      <c r="D1" s="596"/>
      <c r="E1" s="626" t="str">
        <f>CONCATENATE("1. tájékoztató tábla ",ALAPADATOK!A7," ",ALAPADATOK!B7," ",ALAPADATOK!C7," ",ALAPADATOK!D7," ",ALAPADATOK!E7," ",ALAPADATOK!F7," ",ALAPADATOK!G7," ",ALAPADATOK!H7)</f>
        <v>1. tájékoztató tábla a … / 2021 ( … ) önkormányzati rendelethez</v>
      </c>
    </row>
    <row r="2" spans="1:5" ht="15.75">
      <c r="A2" s="802" t="str">
        <f>CONCATENATE(ALAPADATOK!A3)</f>
        <v>SOLYMÁR NAGYKÖZSÉG ÖNKORMÁNYZATA</v>
      </c>
      <c r="B2" s="802"/>
      <c r="C2" s="803"/>
      <c r="D2" s="802"/>
      <c r="E2" s="802"/>
    </row>
    <row r="3" spans="1:5" ht="15.75">
      <c r="A3" s="802" t="str">
        <f>CONCATENATE("Tájékoztató a ",ALAPADATOK!D7-2,". évi tény, ",ALAPADATOK!D7-1,". évi várható és ",ALAPADATOK!D7,". évi terv adatokról")</f>
        <v>Tájékoztató a 2019. évi tény, 2020. évi várható és 2021. évi terv adatokról</v>
      </c>
      <c r="B3" s="802"/>
      <c r="C3" s="803"/>
      <c r="D3" s="802"/>
      <c r="E3" s="802"/>
    </row>
    <row r="4" spans="1:5" ht="15.75" customHeight="1">
      <c r="A4" s="738" t="s">
        <v>15</v>
      </c>
      <c r="B4" s="738"/>
      <c r="C4" s="738"/>
      <c r="D4" s="738"/>
      <c r="E4" s="738"/>
    </row>
    <row r="5" spans="1:5" ht="15.75" customHeight="1" thickBot="1">
      <c r="A5" s="739" t="s">
        <v>150</v>
      </c>
      <c r="B5" s="739"/>
      <c r="C5" s="600"/>
      <c r="D5" s="627"/>
      <c r="E5" s="636" t="str">
        <f>'KV_10.sz.mell'!G11</f>
        <v>Forintban!</v>
      </c>
    </row>
    <row r="6" spans="1:5" ht="30.75" customHeight="1" thickBot="1">
      <c r="A6" s="601" t="s">
        <v>69</v>
      </c>
      <c r="B6" s="602" t="s">
        <v>17</v>
      </c>
      <c r="C6" s="602" t="str">
        <f>+CONCATENATE(LEFT(KV_ÖSSZEFÜGGÉSEK!A5,4)-2,". évi tény")</f>
        <v>2019. évi tény</v>
      </c>
      <c r="D6" s="637" t="str">
        <f>+CONCATENATE(LEFT(KV_ÖSSZEFÜGGÉSEK!A5,4)-1,". évi várható")</f>
        <v>2020. évi várható</v>
      </c>
      <c r="E6" s="638" t="str">
        <f>+'KV_1.1.sz.mell.'!C8</f>
        <v>2021. évi előirányzat</v>
      </c>
    </row>
    <row r="7" spans="1:5" s="38" customFormat="1" ht="12" customHeight="1" thickBot="1">
      <c r="A7" s="31" t="s">
        <v>484</v>
      </c>
      <c r="B7" s="32" t="s">
        <v>485</v>
      </c>
      <c r="C7" s="32" t="s">
        <v>486</v>
      </c>
      <c r="D7" s="32" t="s">
        <v>488</v>
      </c>
      <c r="E7" s="421" t="s">
        <v>487</v>
      </c>
    </row>
    <row r="8" spans="1:5" s="1" customFormat="1" ht="12" customHeight="1" thickBot="1">
      <c r="A8" s="20" t="s">
        <v>18</v>
      </c>
      <c r="B8" s="21" t="s">
        <v>245</v>
      </c>
      <c r="C8" s="371">
        <f>+C9+C10+C11+C12+C13+C14</f>
        <v>432516579</v>
      </c>
      <c r="D8" s="371">
        <f>+D9+D10+D11+D12+D13+D14</f>
        <v>456368519</v>
      </c>
      <c r="E8" s="239">
        <f>+E9+E10+E11+E12+E13+E14</f>
        <v>497441457</v>
      </c>
    </row>
    <row r="9" spans="1:5" s="1" customFormat="1" ht="12" customHeight="1">
      <c r="A9" s="15" t="s">
        <v>98</v>
      </c>
      <c r="B9" s="389" t="s">
        <v>246</v>
      </c>
      <c r="C9" s="373">
        <v>112120346</v>
      </c>
      <c r="D9" s="373">
        <v>140010330</v>
      </c>
      <c r="E9" s="275">
        <v>223720930</v>
      </c>
    </row>
    <row r="10" spans="1:5" s="1" customFormat="1" ht="12" customHeight="1">
      <c r="A10" s="14" t="s">
        <v>99</v>
      </c>
      <c r="B10" s="390" t="s">
        <v>247</v>
      </c>
      <c r="C10" s="372">
        <v>135146650</v>
      </c>
      <c r="D10" s="372">
        <v>143596930</v>
      </c>
      <c r="E10" s="275">
        <v>144810450</v>
      </c>
    </row>
    <row r="11" spans="1:5" s="1" customFormat="1" ht="12" customHeight="1">
      <c r="A11" s="14" t="s">
        <v>100</v>
      </c>
      <c r="B11" s="390" t="s">
        <v>248</v>
      </c>
      <c r="C11" s="372">
        <v>141019445</v>
      </c>
      <c r="D11" s="372">
        <v>144123072</v>
      </c>
      <c r="E11" s="275">
        <v>104408607</v>
      </c>
    </row>
    <row r="12" spans="1:5" s="1" customFormat="1" ht="12" customHeight="1">
      <c r="A12" s="14" t="s">
        <v>101</v>
      </c>
      <c r="B12" s="390" t="s">
        <v>249</v>
      </c>
      <c r="C12" s="372">
        <v>17337660</v>
      </c>
      <c r="D12" s="372">
        <v>21754502</v>
      </c>
      <c r="E12" s="275">
        <v>24501470</v>
      </c>
    </row>
    <row r="13" spans="1:5" s="1" customFormat="1" ht="12" customHeight="1">
      <c r="A13" s="14" t="s">
        <v>146</v>
      </c>
      <c r="B13" s="268" t="s">
        <v>423</v>
      </c>
      <c r="C13" s="372">
        <v>18000000</v>
      </c>
      <c r="D13" s="372"/>
      <c r="E13" s="240"/>
    </row>
    <row r="14" spans="1:5" s="1" customFormat="1" ht="12" customHeight="1" thickBot="1">
      <c r="A14" s="16" t="s">
        <v>102</v>
      </c>
      <c r="B14" s="269" t="s">
        <v>424</v>
      </c>
      <c r="C14" s="372">
        <v>8892478</v>
      </c>
      <c r="D14" s="372">
        <v>6883685</v>
      </c>
      <c r="E14" s="240"/>
    </row>
    <row r="15" spans="1:5" s="1" customFormat="1" ht="12" customHeight="1" thickBot="1">
      <c r="A15" s="20" t="s">
        <v>19</v>
      </c>
      <c r="B15" s="267" t="s">
        <v>250</v>
      </c>
      <c r="C15" s="371">
        <f>+C16+C17+C18+C19+C20</f>
        <v>61773074</v>
      </c>
      <c r="D15" s="371">
        <f>+D16+D17+D18+D19+D20</f>
        <v>77962899</v>
      </c>
      <c r="E15" s="239">
        <f>+E16+E17+E18+E19+E20</f>
        <v>44219839</v>
      </c>
    </row>
    <row r="16" spans="1:5" s="1" customFormat="1" ht="12" customHeight="1">
      <c r="A16" s="15" t="s">
        <v>104</v>
      </c>
      <c r="B16" s="389" t="s">
        <v>251</v>
      </c>
      <c r="C16" s="373"/>
      <c r="D16" s="373"/>
      <c r="E16" s="241"/>
    </row>
    <row r="17" spans="1:5" s="1" customFormat="1" ht="12" customHeight="1">
      <c r="A17" s="14" t="s">
        <v>105</v>
      </c>
      <c r="B17" s="390" t="s">
        <v>252</v>
      </c>
      <c r="C17" s="372"/>
      <c r="D17" s="372"/>
      <c r="E17" s="240"/>
    </row>
    <row r="18" spans="1:5" s="1" customFormat="1" ht="12" customHeight="1">
      <c r="A18" s="14" t="s">
        <v>106</v>
      </c>
      <c r="B18" s="390" t="s">
        <v>413</v>
      </c>
      <c r="C18" s="372"/>
      <c r="D18" s="372"/>
      <c r="E18" s="240"/>
    </row>
    <row r="19" spans="1:5" s="1" customFormat="1" ht="12" customHeight="1">
      <c r="A19" s="14" t="s">
        <v>107</v>
      </c>
      <c r="B19" s="390" t="s">
        <v>414</v>
      </c>
      <c r="C19" s="372"/>
      <c r="D19" s="372"/>
      <c r="E19" s="240"/>
    </row>
    <row r="20" spans="1:5" s="1" customFormat="1" ht="12" customHeight="1">
      <c r="A20" s="14" t="s">
        <v>108</v>
      </c>
      <c r="B20" s="390" t="s">
        <v>253</v>
      </c>
      <c r="C20" s="372">
        <v>61773074</v>
      </c>
      <c r="D20" s="372">
        <v>77962899</v>
      </c>
      <c r="E20" s="240">
        <v>44219839</v>
      </c>
    </row>
    <row r="21" spans="1:5" s="1" customFormat="1" ht="12" customHeight="1" thickBot="1">
      <c r="A21" s="16" t="s">
        <v>117</v>
      </c>
      <c r="B21" s="269" t="s">
        <v>254</v>
      </c>
      <c r="C21" s="374"/>
      <c r="D21" s="374"/>
      <c r="E21" s="242"/>
    </row>
    <row r="22" spans="1:5" s="1" customFormat="1" ht="12" customHeight="1" thickBot="1">
      <c r="A22" s="20" t="s">
        <v>20</v>
      </c>
      <c r="B22" s="21" t="s">
        <v>255</v>
      </c>
      <c r="C22" s="371">
        <f>+C23+C24+C25+C26+C27</f>
        <v>151645473</v>
      </c>
      <c r="D22" s="371">
        <f>+D23+D24+D25+D26+D27</f>
        <v>108887072</v>
      </c>
      <c r="E22" s="239">
        <f>+E23+E24+E25+E26+E27</f>
        <v>63310137</v>
      </c>
    </row>
    <row r="23" spans="1:5" s="1" customFormat="1" ht="12" customHeight="1">
      <c r="A23" s="15" t="s">
        <v>87</v>
      </c>
      <c r="B23" s="389" t="s">
        <v>256</v>
      </c>
      <c r="C23" s="373">
        <v>149145473</v>
      </c>
      <c r="D23" s="373">
        <v>108887072</v>
      </c>
      <c r="E23" s="241"/>
    </row>
    <row r="24" spans="1:5" s="1" customFormat="1" ht="12" customHeight="1">
      <c r="A24" s="14" t="s">
        <v>88</v>
      </c>
      <c r="B24" s="390" t="s">
        <v>257</v>
      </c>
      <c r="C24" s="372"/>
      <c r="D24" s="372"/>
      <c r="E24" s="240"/>
    </row>
    <row r="25" spans="1:5" s="1" customFormat="1" ht="12" customHeight="1">
      <c r="A25" s="14" t="s">
        <v>89</v>
      </c>
      <c r="B25" s="390" t="s">
        <v>415</v>
      </c>
      <c r="C25" s="372"/>
      <c r="D25" s="372"/>
      <c r="E25" s="240"/>
    </row>
    <row r="26" spans="1:5" s="1" customFormat="1" ht="12" customHeight="1">
      <c r="A26" s="14" t="s">
        <v>90</v>
      </c>
      <c r="B26" s="390" t="s">
        <v>416</v>
      </c>
      <c r="C26" s="372"/>
      <c r="D26" s="372"/>
      <c r="E26" s="240"/>
    </row>
    <row r="27" spans="1:5" s="1" customFormat="1" ht="12" customHeight="1">
      <c r="A27" s="14" t="s">
        <v>169</v>
      </c>
      <c r="B27" s="390" t="s">
        <v>258</v>
      </c>
      <c r="C27" s="372">
        <v>2500000</v>
      </c>
      <c r="D27" s="372"/>
      <c r="E27" s="240">
        <v>63310137</v>
      </c>
    </row>
    <row r="28" spans="1:5" s="1" customFormat="1" ht="12" customHeight="1" thickBot="1">
      <c r="A28" s="16" t="s">
        <v>170</v>
      </c>
      <c r="B28" s="391" t="s">
        <v>259</v>
      </c>
      <c r="C28" s="374"/>
      <c r="D28" s="374"/>
      <c r="E28" s="242">
        <v>63310137</v>
      </c>
    </row>
    <row r="29" spans="1:5" s="1" customFormat="1" ht="12" customHeight="1" thickBot="1">
      <c r="A29" s="20" t="s">
        <v>171</v>
      </c>
      <c r="B29" s="21" t="s">
        <v>260</v>
      </c>
      <c r="C29" s="378">
        <f>SUM(C30:C36)</f>
        <v>913297445</v>
      </c>
      <c r="D29" s="378">
        <f>SUM(D30:D36)</f>
        <v>886076807</v>
      </c>
      <c r="E29" s="420">
        <f>SUM(E30:E36)</f>
        <v>840000000</v>
      </c>
    </row>
    <row r="30" spans="1:5" s="1" customFormat="1" ht="12" customHeight="1">
      <c r="A30" s="15" t="s">
        <v>261</v>
      </c>
      <c r="B30" s="389" t="str">
        <f>'KV_1.1.sz.mell.'!B32</f>
        <v>Építményadó</v>
      </c>
      <c r="C30" s="373">
        <v>196053104</v>
      </c>
      <c r="D30" s="373">
        <v>215189652</v>
      </c>
      <c r="E30" s="273">
        <v>211000000</v>
      </c>
    </row>
    <row r="31" spans="1:5" s="1" customFormat="1" ht="12" customHeight="1">
      <c r="A31" s="14" t="s">
        <v>262</v>
      </c>
      <c r="B31" s="389" t="str">
        <f>'KV_1.1.sz.mell.'!B33</f>
        <v>Telekadó</v>
      </c>
      <c r="C31" s="372">
        <v>130782911</v>
      </c>
      <c r="D31" s="372">
        <v>144211192</v>
      </c>
      <c r="E31" s="274">
        <v>135000000</v>
      </c>
    </row>
    <row r="32" spans="1:5" s="1" customFormat="1" ht="12" customHeight="1">
      <c r="A32" s="14" t="s">
        <v>263</v>
      </c>
      <c r="B32" s="389" t="str">
        <f>'KV_1.1.sz.mell.'!B34</f>
        <v>Iparűzési adó</v>
      </c>
      <c r="C32" s="372">
        <v>512678946</v>
      </c>
      <c r="D32" s="372">
        <v>510456436</v>
      </c>
      <c r="E32" s="274">
        <v>480000000</v>
      </c>
    </row>
    <row r="33" spans="1:5" s="1" customFormat="1" ht="12" customHeight="1">
      <c r="A33" s="14" t="s">
        <v>264</v>
      </c>
      <c r="B33" s="389" t="str">
        <f>'KV_1.1.sz.mell.'!B35</f>
        <v>Talajterhelési díj</v>
      </c>
      <c r="C33" s="372">
        <v>1042134</v>
      </c>
      <c r="D33" s="372">
        <v>1567594</v>
      </c>
      <c r="E33" s="274">
        <v>2000000</v>
      </c>
    </row>
    <row r="34" spans="1:5" s="1" customFormat="1" ht="12" customHeight="1">
      <c r="A34" s="14" t="s">
        <v>543</v>
      </c>
      <c r="B34" s="389" t="str">
        <f>'KV_1.1.sz.mell.'!B36</f>
        <v>Gépjárműadó</v>
      </c>
      <c r="C34" s="372">
        <v>52158260</v>
      </c>
      <c r="D34" s="372"/>
      <c r="E34" s="274"/>
    </row>
    <row r="35" spans="1:5" s="1" customFormat="1" ht="12" customHeight="1">
      <c r="A35" s="14" t="s">
        <v>544</v>
      </c>
      <c r="B35" s="389" t="str">
        <f>'KV_1.1.sz.mell.'!B37</f>
        <v>Adópótlék, adóbírság</v>
      </c>
      <c r="C35" s="372">
        <v>4357122</v>
      </c>
      <c r="D35" s="372">
        <v>3306280</v>
      </c>
      <c r="E35" s="274">
        <v>4000000</v>
      </c>
    </row>
    <row r="36" spans="1:5" s="1" customFormat="1" ht="12" customHeight="1" thickBot="1">
      <c r="A36" s="16" t="s">
        <v>545</v>
      </c>
      <c r="B36" s="389" t="str">
        <f>'KV_1.1.sz.mell.'!B38</f>
        <v>Egyéb  közhatalmi bevételek</v>
      </c>
      <c r="C36" s="374">
        <v>16224968</v>
      </c>
      <c r="D36" s="374">
        <v>11345653</v>
      </c>
      <c r="E36" s="280">
        <v>8000000</v>
      </c>
    </row>
    <row r="37" spans="1:5" s="1" customFormat="1" ht="12" customHeight="1" thickBot="1">
      <c r="A37" s="20" t="s">
        <v>22</v>
      </c>
      <c r="B37" s="21" t="s">
        <v>425</v>
      </c>
      <c r="C37" s="371">
        <f>SUM(C38:C48)</f>
        <v>116382954</v>
      </c>
      <c r="D37" s="371">
        <f>SUM(D38:D48)</f>
        <v>87200746</v>
      </c>
      <c r="E37" s="239">
        <f>SUM(E38:E48)</f>
        <v>78526256</v>
      </c>
    </row>
    <row r="38" spans="1:5" s="1" customFormat="1" ht="12" customHeight="1">
      <c r="A38" s="15" t="s">
        <v>91</v>
      </c>
      <c r="B38" s="389" t="s">
        <v>268</v>
      </c>
      <c r="C38" s="373"/>
      <c r="D38" s="373"/>
      <c r="E38" s="241"/>
    </row>
    <row r="39" spans="1:5" s="1" customFormat="1" ht="12" customHeight="1">
      <c r="A39" s="14" t="s">
        <v>92</v>
      </c>
      <c r="B39" s="390" t="s">
        <v>269</v>
      </c>
      <c r="C39" s="372">
        <v>15911128</v>
      </c>
      <c r="D39" s="372">
        <v>12420667</v>
      </c>
      <c r="E39" s="240">
        <v>14294171</v>
      </c>
    </row>
    <row r="40" spans="1:5" s="1" customFormat="1" ht="12" customHeight="1">
      <c r="A40" s="14" t="s">
        <v>93</v>
      </c>
      <c r="B40" s="390" t="s">
        <v>270</v>
      </c>
      <c r="C40" s="372">
        <v>1085452</v>
      </c>
      <c r="D40" s="372">
        <v>5683535</v>
      </c>
      <c r="E40" s="240"/>
    </row>
    <row r="41" spans="1:5" s="1" customFormat="1" ht="12" customHeight="1">
      <c r="A41" s="14" t="s">
        <v>173</v>
      </c>
      <c r="B41" s="390" t="s">
        <v>271</v>
      </c>
      <c r="C41" s="372">
        <v>21967719</v>
      </c>
      <c r="D41" s="372">
        <v>13824432</v>
      </c>
      <c r="E41" s="240">
        <v>22243200</v>
      </c>
    </row>
    <row r="42" spans="1:5" s="1" customFormat="1" ht="12" customHeight="1">
      <c r="A42" s="14" t="s">
        <v>174</v>
      </c>
      <c r="B42" s="390" t="s">
        <v>272</v>
      </c>
      <c r="C42" s="372">
        <v>24923282</v>
      </c>
      <c r="D42" s="372">
        <v>19189765</v>
      </c>
      <c r="E42" s="240">
        <v>26577947</v>
      </c>
    </row>
    <row r="43" spans="1:5" s="1" customFormat="1" ht="12" customHeight="1">
      <c r="A43" s="14" t="s">
        <v>175</v>
      </c>
      <c r="B43" s="390" t="s">
        <v>273</v>
      </c>
      <c r="C43" s="372">
        <v>52431866</v>
      </c>
      <c r="D43" s="372">
        <v>35133516</v>
      </c>
      <c r="E43" s="240">
        <v>15380938</v>
      </c>
    </row>
    <row r="44" spans="1:5" s="1" customFormat="1" ht="12" customHeight="1">
      <c r="A44" s="14" t="s">
        <v>176</v>
      </c>
      <c r="B44" s="390" t="s">
        <v>274</v>
      </c>
      <c r="C44" s="372"/>
      <c r="D44" s="372">
        <v>118000</v>
      </c>
      <c r="E44" s="240"/>
    </row>
    <row r="45" spans="1:5" s="1" customFormat="1" ht="12" customHeight="1">
      <c r="A45" s="14" t="s">
        <v>177</v>
      </c>
      <c r="B45" s="390" t="s">
        <v>549</v>
      </c>
      <c r="C45" s="372">
        <v>226</v>
      </c>
      <c r="D45" s="372">
        <v>224</v>
      </c>
      <c r="E45" s="240"/>
    </row>
    <row r="46" spans="1:5" s="1" customFormat="1" ht="12" customHeight="1">
      <c r="A46" s="14" t="s">
        <v>266</v>
      </c>
      <c r="B46" s="390" t="s">
        <v>276</v>
      </c>
      <c r="C46" s="375"/>
      <c r="D46" s="375"/>
      <c r="E46" s="243"/>
    </row>
    <row r="47" spans="1:5" s="1" customFormat="1" ht="12" customHeight="1">
      <c r="A47" s="16" t="s">
        <v>267</v>
      </c>
      <c r="B47" s="391" t="s">
        <v>427</v>
      </c>
      <c r="C47" s="376"/>
      <c r="D47" s="376"/>
      <c r="E47" s="244"/>
    </row>
    <row r="48" spans="1:5" s="1" customFormat="1" ht="12" customHeight="1" thickBot="1">
      <c r="A48" s="16" t="s">
        <v>426</v>
      </c>
      <c r="B48" s="269" t="s">
        <v>277</v>
      </c>
      <c r="C48" s="376">
        <v>63281</v>
      </c>
      <c r="D48" s="376">
        <v>830607</v>
      </c>
      <c r="E48" s="244">
        <v>30000</v>
      </c>
    </row>
    <row r="49" spans="1:5" s="1" customFormat="1" ht="12" customHeight="1" thickBot="1">
      <c r="A49" s="20" t="s">
        <v>23</v>
      </c>
      <c r="B49" s="21" t="s">
        <v>278</v>
      </c>
      <c r="C49" s="371">
        <f>SUM(C50:C54)</f>
        <v>148630717</v>
      </c>
      <c r="D49" s="371">
        <f>SUM(D50:D54)</f>
        <v>93781401</v>
      </c>
      <c r="E49" s="239">
        <f>SUM(E50:E54)</f>
        <v>260000000</v>
      </c>
    </row>
    <row r="50" spans="1:5" s="1" customFormat="1" ht="12" customHeight="1">
      <c r="A50" s="15" t="s">
        <v>94</v>
      </c>
      <c r="B50" s="389" t="s">
        <v>282</v>
      </c>
      <c r="C50" s="435"/>
      <c r="D50" s="435"/>
      <c r="E50" s="265"/>
    </row>
    <row r="51" spans="1:5" s="1" customFormat="1" ht="12" customHeight="1">
      <c r="A51" s="14" t="s">
        <v>95</v>
      </c>
      <c r="B51" s="390" t="s">
        <v>283</v>
      </c>
      <c r="C51" s="375">
        <v>148630717</v>
      </c>
      <c r="D51" s="375">
        <v>87161071</v>
      </c>
      <c r="E51" s="243">
        <v>260000000</v>
      </c>
    </row>
    <row r="52" spans="1:5" s="1" customFormat="1" ht="12" customHeight="1">
      <c r="A52" s="14" t="s">
        <v>279</v>
      </c>
      <c r="B52" s="390" t="s">
        <v>284</v>
      </c>
      <c r="C52" s="375"/>
      <c r="D52" s="375">
        <v>364799</v>
      </c>
      <c r="E52" s="243"/>
    </row>
    <row r="53" spans="1:5" s="1" customFormat="1" ht="12" customHeight="1">
      <c r="A53" s="14" t="s">
        <v>280</v>
      </c>
      <c r="B53" s="390" t="s">
        <v>285</v>
      </c>
      <c r="C53" s="375"/>
      <c r="D53" s="375"/>
      <c r="E53" s="243"/>
    </row>
    <row r="54" spans="1:5" s="1" customFormat="1" ht="12" customHeight="1" thickBot="1">
      <c r="A54" s="16" t="s">
        <v>281</v>
      </c>
      <c r="B54" s="269" t="s">
        <v>286</v>
      </c>
      <c r="C54" s="376"/>
      <c r="D54" s="376">
        <v>6255531</v>
      </c>
      <c r="E54" s="244"/>
    </row>
    <row r="55" spans="1:5" s="1" customFormat="1" ht="12" customHeight="1" thickBot="1">
      <c r="A55" s="20" t="s">
        <v>178</v>
      </c>
      <c r="B55" s="21" t="s">
        <v>287</v>
      </c>
      <c r="C55" s="371">
        <f>SUM(C56:C58)</f>
        <v>5077000</v>
      </c>
      <c r="D55" s="371">
        <f>SUM(D56:D58)</f>
        <v>958005</v>
      </c>
      <c r="E55" s="239">
        <f>SUM(E56:E58)</f>
        <v>12000000</v>
      </c>
    </row>
    <row r="56" spans="1:5" s="1" customFormat="1" ht="12" customHeight="1">
      <c r="A56" s="15" t="s">
        <v>96</v>
      </c>
      <c r="B56" s="389" t="s">
        <v>288</v>
      </c>
      <c r="C56" s="373"/>
      <c r="D56" s="373"/>
      <c r="E56" s="241"/>
    </row>
    <row r="57" spans="1:5" s="1" customFormat="1" ht="12" customHeight="1">
      <c r="A57" s="14" t="s">
        <v>97</v>
      </c>
      <c r="B57" s="390" t="s">
        <v>417</v>
      </c>
      <c r="C57" s="372">
        <v>5077000</v>
      </c>
      <c r="D57" s="372">
        <v>99705</v>
      </c>
      <c r="E57" s="240">
        <v>12000000</v>
      </c>
    </row>
    <row r="58" spans="1:5" s="1" customFormat="1" ht="12" customHeight="1">
      <c r="A58" s="14" t="s">
        <v>291</v>
      </c>
      <c r="B58" s="390" t="s">
        <v>289</v>
      </c>
      <c r="C58" s="372"/>
      <c r="D58" s="372">
        <v>858300</v>
      </c>
      <c r="E58" s="240"/>
    </row>
    <row r="59" spans="1:5" s="1" customFormat="1" ht="12" customHeight="1" thickBot="1">
      <c r="A59" s="16" t="s">
        <v>292</v>
      </c>
      <c r="B59" s="269" t="s">
        <v>290</v>
      </c>
      <c r="C59" s="374"/>
      <c r="D59" s="374"/>
      <c r="E59" s="242"/>
    </row>
    <row r="60" spans="1:5" s="1" customFormat="1" ht="12" customHeight="1" thickBot="1">
      <c r="A60" s="20" t="s">
        <v>25</v>
      </c>
      <c r="B60" s="267" t="s">
        <v>293</v>
      </c>
      <c r="C60" s="371">
        <f>SUM(C61:C63)</f>
        <v>24267098</v>
      </c>
      <c r="D60" s="371">
        <f>SUM(D61:D63)</f>
        <v>5643787</v>
      </c>
      <c r="E60" s="239">
        <f>SUM(E61:E63)</f>
        <v>235500</v>
      </c>
    </row>
    <row r="61" spans="1:5" s="1" customFormat="1" ht="12" customHeight="1">
      <c r="A61" s="15" t="s">
        <v>179</v>
      </c>
      <c r="B61" s="389" t="s">
        <v>295</v>
      </c>
      <c r="C61" s="375"/>
      <c r="D61" s="375"/>
      <c r="E61" s="243"/>
    </row>
    <row r="62" spans="1:5" s="1" customFormat="1" ht="12" customHeight="1">
      <c r="A62" s="14" t="s">
        <v>180</v>
      </c>
      <c r="B62" s="390" t="s">
        <v>418</v>
      </c>
      <c r="C62" s="375"/>
      <c r="D62" s="375"/>
      <c r="E62" s="243"/>
    </row>
    <row r="63" spans="1:5" s="1" customFormat="1" ht="12" customHeight="1">
      <c r="A63" s="14" t="s">
        <v>224</v>
      </c>
      <c r="B63" s="390" t="s">
        <v>296</v>
      </c>
      <c r="C63" s="375">
        <v>24267098</v>
      </c>
      <c r="D63" s="375">
        <v>5643787</v>
      </c>
      <c r="E63" s="243">
        <v>235500</v>
      </c>
    </row>
    <row r="64" spans="1:5" s="1" customFormat="1" ht="12" customHeight="1" thickBot="1">
      <c r="A64" s="16" t="s">
        <v>294</v>
      </c>
      <c r="B64" s="269" t="s">
        <v>297</v>
      </c>
      <c r="C64" s="375"/>
      <c r="D64" s="375"/>
      <c r="E64" s="243"/>
    </row>
    <row r="65" spans="1:5" s="1" customFormat="1" ht="12" customHeight="1" thickBot="1">
      <c r="A65" s="460" t="s">
        <v>467</v>
      </c>
      <c r="B65" s="21" t="s">
        <v>298</v>
      </c>
      <c r="C65" s="378">
        <f>+C8+C15+C22+C29+C37+C49+C55+C60</f>
        <v>1853590340</v>
      </c>
      <c r="D65" s="378">
        <f>+D8+D15+D22+D29+D37+D49+D55+D60</f>
        <v>1716879236</v>
      </c>
      <c r="E65" s="420">
        <f>+E8+E15+E22+E29+E37+E49+E55+E60</f>
        <v>1795733189</v>
      </c>
    </row>
    <row r="66" spans="1:5" s="1" customFormat="1" ht="12" customHeight="1" thickBot="1">
      <c r="A66" s="436" t="s">
        <v>299</v>
      </c>
      <c r="B66" s="267" t="s">
        <v>534</v>
      </c>
      <c r="C66" s="371">
        <f>SUM(C67:C69)</f>
        <v>14996276</v>
      </c>
      <c r="D66" s="371">
        <f>SUM(D67:D69)</f>
        <v>0</v>
      </c>
      <c r="E66" s="239">
        <f>SUM(E67:E69)</f>
        <v>0</v>
      </c>
    </row>
    <row r="67" spans="1:5" s="1" customFormat="1" ht="12" customHeight="1">
      <c r="A67" s="15" t="s">
        <v>328</v>
      </c>
      <c r="B67" s="389" t="s">
        <v>301</v>
      </c>
      <c r="C67" s="375"/>
      <c r="D67" s="375"/>
      <c r="E67" s="243"/>
    </row>
    <row r="68" spans="1:5" s="1" customFormat="1" ht="12" customHeight="1">
      <c r="A68" s="14" t="s">
        <v>337</v>
      </c>
      <c r="B68" s="390" t="s">
        <v>302</v>
      </c>
      <c r="C68" s="375">
        <v>14996276</v>
      </c>
      <c r="D68" s="375"/>
      <c r="E68" s="243"/>
    </row>
    <row r="69" spans="1:5" s="1" customFormat="1" ht="12" customHeight="1" thickBot="1">
      <c r="A69" s="16" t="s">
        <v>338</v>
      </c>
      <c r="B69" s="454" t="s">
        <v>452</v>
      </c>
      <c r="C69" s="375"/>
      <c r="D69" s="375"/>
      <c r="E69" s="243"/>
    </row>
    <row r="70" spans="1:5" s="1" customFormat="1" ht="12" customHeight="1" thickBot="1">
      <c r="A70" s="436" t="s">
        <v>304</v>
      </c>
      <c r="B70" s="267" t="s">
        <v>305</v>
      </c>
      <c r="C70" s="371">
        <f>SUM(C71:C74)</f>
        <v>0</v>
      </c>
      <c r="D70" s="371">
        <f>SUM(D71:D74)</f>
        <v>0</v>
      </c>
      <c r="E70" s="239">
        <f>SUM(E71:E74)</f>
        <v>0</v>
      </c>
    </row>
    <row r="71" spans="1:5" s="1" customFormat="1" ht="12" customHeight="1">
      <c r="A71" s="15" t="s">
        <v>147</v>
      </c>
      <c r="B71" s="528" t="s">
        <v>306</v>
      </c>
      <c r="C71" s="375"/>
      <c r="D71" s="375"/>
      <c r="E71" s="243"/>
    </row>
    <row r="72" spans="1:7" s="1" customFormat="1" ht="13.5" customHeight="1">
      <c r="A72" s="14" t="s">
        <v>148</v>
      </c>
      <c r="B72" s="528" t="s">
        <v>559</v>
      </c>
      <c r="C72" s="375"/>
      <c r="D72" s="375"/>
      <c r="E72" s="243"/>
      <c r="G72" s="39"/>
    </row>
    <row r="73" spans="1:5" s="1" customFormat="1" ht="12" customHeight="1">
      <c r="A73" s="14" t="s">
        <v>329</v>
      </c>
      <c r="B73" s="528" t="s">
        <v>307</v>
      </c>
      <c r="C73" s="375"/>
      <c r="D73" s="375"/>
      <c r="E73" s="243"/>
    </row>
    <row r="74" spans="1:5" s="1" customFormat="1" ht="12" customHeight="1" thickBot="1">
      <c r="A74" s="16" t="s">
        <v>330</v>
      </c>
      <c r="B74" s="529" t="s">
        <v>560</v>
      </c>
      <c r="C74" s="375"/>
      <c r="D74" s="375"/>
      <c r="E74" s="243"/>
    </row>
    <row r="75" spans="1:5" s="1" customFormat="1" ht="12" customHeight="1" thickBot="1">
      <c r="A75" s="436" t="s">
        <v>308</v>
      </c>
      <c r="B75" s="267" t="s">
        <v>309</v>
      </c>
      <c r="C75" s="371">
        <f>SUM(C76:C77)</f>
        <v>155409840</v>
      </c>
      <c r="D75" s="371">
        <f>SUM(D76:D77)</f>
        <v>268520096</v>
      </c>
      <c r="E75" s="239">
        <f>SUM(E76:E77)</f>
        <v>371820156</v>
      </c>
    </row>
    <row r="76" spans="1:5" s="1" customFormat="1" ht="12" customHeight="1">
      <c r="A76" s="15" t="s">
        <v>331</v>
      </c>
      <c r="B76" s="389" t="s">
        <v>310</v>
      </c>
      <c r="C76" s="375">
        <v>155409840</v>
      </c>
      <c r="D76" s="375">
        <v>268520096</v>
      </c>
      <c r="E76" s="243">
        <v>371820156</v>
      </c>
    </row>
    <row r="77" spans="1:5" s="1" customFormat="1" ht="12" customHeight="1" thickBot="1">
      <c r="A77" s="16" t="s">
        <v>332</v>
      </c>
      <c r="B77" s="269" t="s">
        <v>311</v>
      </c>
      <c r="C77" s="375"/>
      <c r="D77" s="375"/>
      <c r="E77" s="243"/>
    </row>
    <row r="78" spans="1:5" s="1" customFormat="1" ht="12" customHeight="1" thickBot="1">
      <c r="A78" s="436" t="s">
        <v>312</v>
      </c>
      <c r="B78" s="267" t="s">
        <v>313</v>
      </c>
      <c r="C78" s="371">
        <f>SUM(C79:C81)</f>
        <v>15005796</v>
      </c>
      <c r="D78" s="371">
        <f>SUM(D79:D81)</f>
        <v>19897658</v>
      </c>
      <c r="E78" s="239">
        <f>SUM(E79:E81)</f>
        <v>0</v>
      </c>
    </row>
    <row r="79" spans="1:5" s="1" customFormat="1" ht="12" customHeight="1">
      <c r="A79" s="15" t="s">
        <v>333</v>
      </c>
      <c r="B79" s="389" t="s">
        <v>314</v>
      </c>
      <c r="C79" s="375">
        <v>15005796</v>
      </c>
      <c r="D79" s="375">
        <v>19897658</v>
      </c>
      <c r="E79" s="243"/>
    </row>
    <row r="80" spans="1:5" s="1" customFormat="1" ht="12" customHeight="1">
      <c r="A80" s="14" t="s">
        <v>334</v>
      </c>
      <c r="B80" s="390" t="s">
        <v>315</v>
      </c>
      <c r="C80" s="375"/>
      <c r="D80" s="375"/>
      <c r="E80" s="243"/>
    </row>
    <row r="81" spans="1:5" s="1" customFormat="1" ht="12" customHeight="1" thickBot="1">
      <c r="A81" s="16" t="s">
        <v>335</v>
      </c>
      <c r="B81" s="269" t="s">
        <v>561</v>
      </c>
      <c r="C81" s="375"/>
      <c r="D81" s="375"/>
      <c r="E81" s="243"/>
    </row>
    <row r="82" spans="1:5" s="1" customFormat="1" ht="12" customHeight="1" thickBot="1">
      <c r="A82" s="436" t="s">
        <v>316</v>
      </c>
      <c r="B82" s="267" t="s">
        <v>336</v>
      </c>
      <c r="C82" s="371">
        <f>SUM(C83:C86)</f>
        <v>0</v>
      </c>
      <c r="D82" s="371">
        <f>SUM(D83:D86)</f>
        <v>0</v>
      </c>
      <c r="E82" s="239">
        <f>SUM(E83:E86)</f>
        <v>0</v>
      </c>
    </row>
    <row r="83" spans="1:5" s="1" customFormat="1" ht="12" customHeight="1">
      <c r="A83" s="393" t="s">
        <v>317</v>
      </c>
      <c r="B83" s="389" t="s">
        <v>318</v>
      </c>
      <c r="C83" s="375"/>
      <c r="D83" s="375"/>
      <c r="E83" s="243"/>
    </row>
    <row r="84" spans="1:5" s="1" customFormat="1" ht="12" customHeight="1">
      <c r="A84" s="394" t="s">
        <v>319</v>
      </c>
      <c r="B84" s="390" t="s">
        <v>320</v>
      </c>
      <c r="C84" s="375"/>
      <c r="D84" s="375"/>
      <c r="E84" s="243"/>
    </row>
    <row r="85" spans="1:5" s="1" customFormat="1" ht="12" customHeight="1">
      <c r="A85" s="394" t="s">
        <v>321</v>
      </c>
      <c r="B85" s="390" t="s">
        <v>322</v>
      </c>
      <c r="C85" s="375"/>
      <c r="D85" s="375"/>
      <c r="E85" s="243"/>
    </row>
    <row r="86" spans="1:5" s="1" customFormat="1" ht="12" customHeight="1" thickBot="1">
      <c r="A86" s="395" t="s">
        <v>323</v>
      </c>
      <c r="B86" s="269" t="s">
        <v>324</v>
      </c>
      <c r="C86" s="375"/>
      <c r="D86" s="375"/>
      <c r="E86" s="243"/>
    </row>
    <row r="87" spans="1:5" s="1" customFormat="1" ht="12" customHeight="1" thickBot="1">
      <c r="A87" s="436" t="s">
        <v>325</v>
      </c>
      <c r="B87" s="267" t="s">
        <v>466</v>
      </c>
      <c r="C87" s="438"/>
      <c r="D87" s="438"/>
      <c r="E87" s="439"/>
    </row>
    <row r="88" spans="1:5" s="1" customFormat="1" ht="12" customHeight="1" thickBot="1">
      <c r="A88" s="436" t="s">
        <v>327</v>
      </c>
      <c r="B88" s="267" t="s">
        <v>326</v>
      </c>
      <c r="C88" s="438"/>
      <c r="D88" s="438"/>
      <c r="E88" s="439"/>
    </row>
    <row r="89" spans="1:5" s="1" customFormat="1" ht="12" customHeight="1" thickBot="1">
      <c r="A89" s="436" t="s">
        <v>339</v>
      </c>
      <c r="B89" s="396" t="s">
        <v>469</v>
      </c>
      <c r="C89" s="378">
        <f>+C66+C70+C75+C78+C82+C88+C87</f>
        <v>185411912</v>
      </c>
      <c r="D89" s="378">
        <f>+D66+D70+D75+D78+D82+D88+D87</f>
        <v>288417754</v>
      </c>
      <c r="E89" s="420">
        <f>+E66+E70+E75+E78+E82+E88+E87</f>
        <v>371820156</v>
      </c>
    </row>
    <row r="90" spans="1:5" s="1" customFormat="1" ht="12" customHeight="1" thickBot="1">
      <c r="A90" s="437" t="s">
        <v>468</v>
      </c>
      <c r="B90" s="397" t="s">
        <v>470</v>
      </c>
      <c r="C90" s="378">
        <f>+C65+C89</f>
        <v>2039002252</v>
      </c>
      <c r="D90" s="378">
        <f>+D65+D89</f>
        <v>2005296990</v>
      </c>
      <c r="E90" s="420">
        <f>+E65+E89</f>
        <v>2167553345</v>
      </c>
    </row>
    <row r="91" spans="1:5" s="1" customFormat="1" ht="12" customHeight="1">
      <c r="A91" s="344"/>
      <c r="B91" s="345"/>
      <c r="C91" s="346"/>
      <c r="D91" s="347"/>
      <c r="E91" s="348"/>
    </row>
    <row r="92" spans="1:5" s="1" customFormat="1" ht="12" customHeight="1">
      <c r="A92" s="743" t="s">
        <v>47</v>
      </c>
      <c r="B92" s="743"/>
      <c r="C92" s="743"/>
      <c r="D92" s="743"/>
      <c r="E92" s="743"/>
    </row>
    <row r="93" spans="1:5" s="1" customFormat="1" ht="12" customHeight="1" thickBot="1">
      <c r="A93" s="740" t="s">
        <v>151</v>
      </c>
      <c r="B93" s="740"/>
      <c r="C93" s="358"/>
      <c r="D93" s="135"/>
      <c r="E93" s="282" t="str">
        <f>E5</f>
        <v>Forintban!</v>
      </c>
    </row>
    <row r="94" spans="1:6" s="1" customFormat="1" ht="24" customHeight="1" thickBot="1">
      <c r="A94" s="23" t="s">
        <v>16</v>
      </c>
      <c r="B94" s="24" t="s">
        <v>48</v>
      </c>
      <c r="C94" s="24" t="str">
        <f>+C6</f>
        <v>2019. évi tény</v>
      </c>
      <c r="D94" s="24" t="str">
        <f>+D6</f>
        <v>2020. évi várható</v>
      </c>
      <c r="E94" s="152" t="str">
        <f>+E6</f>
        <v>2021. évi előirányzat</v>
      </c>
      <c r="F94" s="143"/>
    </row>
    <row r="95" spans="1:6" s="1" customFormat="1" ht="12" customHeight="1" thickBot="1">
      <c r="A95" s="31" t="s">
        <v>484</v>
      </c>
      <c r="B95" s="32" t="s">
        <v>485</v>
      </c>
      <c r="C95" s="32" t="s">
        <v>486</v>
      </c>
      <c r="D95" s="32" t="s">
        <v>488</v>
      </c>
      <c r="E95" s="421" t="s">
        <v>487</v>
      </c>
      <c r="F95" s="143"/>
    </row>
    <row r="96" spans="1:6" s="1" customFormat="1" ht="15" customHeight="1" thickBot="1">
      <c r="A96" s="22" t="s">
        <v>18</v>
      </c>
      <c r="B96" s="28" t="s">
        <v>428</v>
      </c>
      <c r="C96" s="370">
        <f>C97+C98+C99+C100+C101+C114</f>
        <v>1403525970</v>
      </c>
      <c r="D96" s="370">
        <f>D97+D98+D99+D100+D101+D114</f>
        <v>1463082117</v>
      </c>
      <c r="E96" s="463">
        <f>E97+E98+E99+E100+E101+E114</f>
        <v>1809398215</v>
      </c>
      <c r="F96" s="143"/>
    </row>
    <row r="97" spans="1:5" s="1" customFormat="1" ht="12.75" customHeight="1">
      <c r="A97" s="17" t="s">
        <v>98</v>
      </c>
      <c r="B97" s="10" t="s">
        <v>49</v>
      </c>
      <c r="C97" s="470">
        <v>607780484</v>
      </c>
      <c r="D97" s="470">
        <v>668298662</v>
      </c>
      <c r="E97" s="464">
        <v>719820251</v>
      </c>
    </row>
    <row r="98" spans="1:5" ht="16.5" customHeight="1">
      <c r="A98" s="14" t="s">
        <v>99</v>
      </c>
      <c r="B98" s="8" t="s">
        <v>181</v>
      </c>
      <c r="C98" s="372">
        <v>119084012</v>
      </c>
      <c r="D98" s="372">
        <v>115461728</v>
      </c>
      <c r="E98" s="240">
        <v>114113646</v>
      </c>
    </row>
    <row r="99" spans="1:5" ht="15.75">
      <c r="A99" s="14" t="s">
        <v>100</v>
      </c>
      <c r="B99" s="8" t="s">
        <v>138</v>
      </c>
      <c r="C99" s="374">
        <v>438984442</v>
      </c>
      <c r="D99" s="374">
        <v>375413507</v>
      </c>
      <c r="E99" s="242">
        <v>428497989</v>
      </c>
    </row>
    <row r="100" spans="1:5" s="38" customFormat="1" ht="12" customHeight="1">
      <c r="A100" s="14" t="s">
        <v>101</v>
      </c>
      <c r="B100" s="11" t="s">
        <v>182</v>
      </c>
      <c r="C100" s="374">
        <v>14929036</v>
      </c>
      <c r="D100" s="374">
        <v>19366119</v>
      </c>
      <c r="E100" s="242">
        <v>23800000</v>
      </c>
    </row>
    <row r="101" spans="1:5" ht="12" customHeight="1">
      <c r="A101" s="14" t="s">
        <v>112</v>
      </c>
      <c r="B101" s="19" t="s">
        <v>183</v>
      </c>
      <c r="C101" s="374">
        <v>222747996</v>
      </c>
      <c r="D101" s="374">
        <v>284542101</v>
      </c>
      <c r="E101" s="242">
        <v>345664475</v>
      </c>
    </row>
    <row r="102" spans="1:5" ht="12" customHeight="1">
      <c r="A102" s="14" t="s">
        <v>102</v>
      </c>
      <c r="B102" s="8" t="s">
        <v>433</v>
      </c>
      <c r="C102" s="374"/>
      <c r="D102" s="374">
        <v>562433</v>
      </c>
      <c r="E102" s="242"/>
    </row>
    <row r="103" spans="1:5" ht="12" customHeight="1">
      <c r="A103" s="14" t="s">
        <v>103</v>
      </c>
      <c r="B103" s="139" t="s">
        <v>432</v>
      </c>
      <c r="C103" s="374"/>
      <c r="D103" s="374"/>
      <c r="E103" s="242">
        <v>75942023</v>
      </c>
    </row>
    <row r="104" spans="1:5" ht="12" customHeight="1">
      <c r="A104" s="14" t="s">
        <v>113</v>
      </c>
      <c r="B104" s="139" t="s">
        <v>431</v>
      </c>
      <c r="C104" s="374">
        <v>1265024</v>
      </c>
      <c r="D104" s="374"/>
      <c r="E104" s="242"/>
    </row>
    <row r="105" spans="1:5" ht="12" customHeight="1">
      <c r="A105" s="14" t="s">
        <v>114</v>
      </c>
      <c r="B105" s="137" t="s">
        <v>342</v>
      </c>
      <c r="C105" s="374"/>
      <c r="D105" s="374"/>
      <c r="E105" s="242"/>
    </row>
    <row r="106" spans="1:5" ht="12" customHeight="1">
      <c r="A106" s="14" t="s">
        <v>115</v>
      </c>
      <c r="B106" s="138" t="s">
        <v>343</v>
      </c>
      <c r="C106" s="374"/>
      <c r="D106" s="374"/>
      <c r="E106" s="242"/>
    </row>
    <row r="107" spans="1:5" ht="12" customHeight="1">
      <c r="A107" s="14" t="s">
        <v>116</v>
      </c>
      <c r="B107" s="138" t="s">
        <v>344</v>
      </c>
      <c r="C107" s="374"/>
      <c r="D107" s="374"/>
      <c r="E107" s="242"/>
    </row>
    <row r="108" spans="1:5" ht="12" customHeight="1">
      <c r="A108" s="14" t="s">
        <v>118</v>
      </c>
      <c r="B108" s="137" t="s">
        <v>345</v>
      </c>
      <c r="C108" s="374">
        <v>25024284</v>
      </c>
      <c r="D108" s="374">
        <v>26217148</v>
      </c>
      <c r="E108" s="242">
        <v>52309933</v>
      </c>
    </row>
    <row r="109" spans="1:5" ht="12" customHeight="1">
      <c r="A109" s="14" t="s">
        <v>184</v>
      </c>
      <c r="B109" s="137" t="s">
        <v>346</v>
      </c>
      <c r="C109" s="374">
        <v>15768168</v>
      </c>
      <c r="D109" s="374"/>
      <c r="E109" s="242"/>
    </row>
    <row r="110" spans="1:5" ht="12" customHeight="1">
      <c r="A110" s="14" t="s">
        <v>340</v>
      </c>
      <c r="B110" s="138" t="s">
        <v>347</v>
      </c>
      <c r="C110" s="374"/>
      <c r="D110" s="374">
        <v>62000000</v>
      </c>
      <c r="E110" s="242"/>
    </row>
    <row r="111" spans="1:5" ht="12" customHeight="1">
      <c r="A111" s="13" t="s">
        <v>341</v>
      </c>
      <c r="B111" s="139" t="s">
        <v>348</v>
      </c>
      <c r="C111" s="374"/>
      <c r="D111" s="374"/>
      <c r="E111" s="242"/>
    </row>
    <row r="112" spans="1:5" ht="12" customHeight="1">
      <c r="A112" s="14" t="s">
        <v>429</v>
      </c>
      <c r="B112" s="139" t="s">
        <v>349</v>
      </c>
      <c r="C112" s="374"/>
      <c r="D112" s="374"/>
      <c r="E112" s="242"/>
    </row>
    <row r="113" spans="1:5" ht="12" customHeight="1">
      <c r="A113" s="16" t="s">
        <v>430</v>
      </c>
      <c r="B113" s="139" t="s">
        <v>350</v>
      </c>
      <c r="C113" s="374">
        <v>180690520</v>
      </c>
      <c r="D113" s="374">
        <v>195762520</v>
      </c>
      <c r="E113" s="242">
        <v>217412520</v>
      </c>
    </row>
    <row r="114" spans="1:5" ht="12" customHeight="1">
      <c r="A114" s="14" t="s">
        <v>434</v>
      </c>
      <c r="B114" s="11" t="s">
        <v>50</v>
      </c>
      <c r="C114" s="372">
        <v>0</v>
      </c>
      <c r="D114" s="372"/>
      <c r="E114" s="240">
        <v>177501854</v>
      </c>
    </row>
    <row r="115" spans="1:5" ht="12" customHeight="1">
      <c r="A115" s="14" t="s">
        <v>435</v>
      </c>
      <c r="B115" s="8" t="s">
        <v>437</v>
      </c>
      <c r="C115" s="372"/>
      <c r="D115" s="372"/>
      <c r="E115" s="240"/>
    </row>
    <row r="116" spans="1:5" ht="12" customHeight="1" thickBot="1">
      <c r="A116" s="18" t="s">
        <v>436</v>
      </c>
      <c r="B116" s="458" t="s">
        <v>438</v>
      </c>
      <c r="C116" s="471"/>
      <c r="D116" s="471"/>
      <c r="E116" s="465">
        <v>177501854</v>
      </c>
    </row>
    <row r="117" spans="1:5" ht="12" customHeight="1" thickBot="1">
      <c r="A117" s="455" t="s">
        <v>19</v>
      </c>
      <c r="B117" s="456" t="s">
        <v>351</v>
      </c>
      <c r="C117" s="472">
        <f>+C118+C120+C122</f>
        <v>297300489</v>
      </c>
      <c r="D117" s="472">
        <f>+D118+D120+D122</f>
        <v>155388921</v>
      </c>
      <c r="E117" s="466">
        <f>+E118+E120+E122</f>
        <v>338257472</v>
      </c>
    </row>
    <row r="118" spans="1:5" ht="12" customHeight="1">
      <c r="A118" s="15" t="s">
        <v>104</v>
      </c>
      <c r="B118" s="8" t="s">
        <v>223</v>
      </c>
      <c r="C118" s="373">
        <v>17785685</v>
      </c>
      <c r="D118" s="373">
        <v>69098684</v>
      </c>
      <c r="E118" s="241">
        <v>171418086</v>
      </c>
    </row>
    <row r="119" spans="1:5" ht="15.75">
      <c r="A119" s="15" t="s">
        <v>105</v>
      </c>
      <c r="B119" s="12" t="s">
        <v>355</v>
      </c>
      <c r="C119" s="373"/>
      <c r="D119" s="373"/>
      <c r="E119" s="241"/>
    </row>
    <row r="120" spans="1:5" ht="12" customHeight="1">
      <c r="A120" s="15" t="s">
        <v>106</v>
      </c>
      <c r="B120" s="12" t="s">
        <v>185</v>
      </c>
      <c r="C120" s="372">
        <v>279514804</v>
      </c>
      <c r="D120" s="372">
        <v>84615237</v>
      </c>
      <c r="E120" s="240">
        <v>166839386</v>
      </c>
    </row>
    <row r="121" spans="1:5" ht="12" customHeight="1">
      <c r="A121" s="15" t="s">
        <v>107</v>
      </c>
      <c r="B121" s="12" t="s">
        <v>356</v>
      </c>
      <c r="C121" s="372"/>
      <c r="D121" s="372"/>
      <c r="E121" s="240">
        <v>63310137</v>
      </c>
    </row>
    <row r="122" spans="1:5" ht="12" customHeight="1">
      <c r="A122" s="15" t="s">
        <v>108</v>
      </c>
      <c r="B122" s="269" t="s">
        <v>225</v>
      </c>
      <c r="C122" s="372"/>
      <c r="D122" s="372">
        <v>1675000</v>
      </c>
      <c r="E122" s="240"/>
    </row>
    <row r="123" spans="1:5" ht="12" customHeight="1">
      <c r="A123" s="15" t="s">
        <v>117</v>
      </c>
      <c r="B123" s="268" t="s">
        <v>419</v>
      </c>
      <c r="C123" s="372"/>
      <c r="D123" s="372"/>
      <c r="E123" s="240"/>
    </row>
    <row r="124" spans="1:5" ht="12" customHeight="1">
      <c r="A124" s="15" t="s">
        <v>119</v>
      </c>
      <c r="B124" s="385" t="s">
        <v>361</v>
      </c>
      <c r="C124" s="372"/>
      <c r="D124" s="372"/>
      <c r="E124" s="240"/>
    </row>
    <row r="125" spans="1:5" ht="12" customHeight="1">
      <c r="A125" s="15" t="s">
        <v>186</v>
      </c>
      <c r="B125" s="138" t="s">
        <v>344</v>
      </c>
      <c r="C125" s="372"/>
      <c r="D125" s="372"/>
      <c r="E125" s="240"/>
    </row>
    <row r="126" spans="1:5" ht="12" customHeight="1">
      <c r="A126" s="15" t="s">
        <v>187</v>
      </c>
      <c r="B126" s="138" t="s">
        <v>360</v>
      </c>
      <c r="C126" s="372"/>
      <c r="D126" s="372"/>
      <c r="E126" s="240"/>
    </row>
    <row r="127" spans="1:5" ht="12" customHeight="1">
      <c r="A127" s="15" t="s">
        <v>188</v>
      </c>
      <c r="B127" s="138" t="s">
        <v>359</v>
      </c>
      <c r="C127" s="372"/>
      <c r="D127" s="372"/>
      <c r="E127" s="240"/>
    </row>
    <row r="128" spans="1:5" ht="12" customHeight="1">
      <c r="A128" s="15" t="s">
        <v>352</v>
      </c>
      <c r="B128" s="138" t="s">
        <v>347</v>
      </c>
      <c r="C128" s="372"/>
      <c r="D128" s="372"/>
      <c r="E128" s="240"/>
    </row>
    <row r="129" spans="1:5" ht="12" customHeight="1">
      <c r="A129" s="15" t="s">
        <v>353</v>
      </c>
      <c r="B129" s="138" t="s">
        <v>358</v>
      </c>
      <c r="C129" s="372"/>
      <c r="D129" s="372"/>
      <c r="E129" s="240"/>
    </row>
    <row r="130" spans="1:5" ht="12" customHeight="1" thickBot="1">
      <c r="A130" s="13" t="s">
        <v>354</v>
      </c>
      <c r="B130" s="138" t="s">
        <v>357</v>
      </c>
      <c r="C130" s="374"/>
      <c r="D130" s="374">
        <v>1675000</v>
      </c>
      <c r="E130" s="242"/>
    </row>
    <row r="131" spans="1:5" ht="12" customHeight="1" thickBot="1">
      <c r="A131" s="20" t="s">
        <v>20</v>
      </c>
      <c r="B131" s="119" t="s">
        <v>439</v>
      </c>
      <c r="C131" s="371">
        <f>+C96+C117</f>
        <v>1700826459</v>
      </c>
      <c r="D131" s="371">
        <f>+D96+D117</f>
        <v>1618471038</v>
      </c>
      <c r="E131" s="239">
        <f>+E96+E117</f>
        <v>2147655687</v>
      </c>
    </row>
    <row r="132" spans="1:5" ht="12" customHeight="1" thickBot="1">
      <c r="A132" s="20" t="s">
        <v>21</v>
      </c>
      <c r="B132" s="119" t="s">
        <v>440</v>
      </c>
      <c r="C132" s="371">
        <f>+C133+C134+C135</f>
        <v>14996276</v>
      </c>
      <c r="D132" s="371">
        <f>+D133+D134+D135</f>
        <v>0</v>
      </c>
      <c r="E132" s="239">
        <f>+E133+E134+E135</f>
        <v>0</v>
      </c>
    </row>
    <row r="133" spans="1:5" ht="12" customHeight="1">
      <c r="A133" s="15" t="s">
        <v>261</v>
      </c>
      <c r="B133" s="12" t="s">
        <v>447</v>
      </c>
      <c r="C133" s="372"/>
      <c r="D133" s="372"/>
      <c r="E133" s="240"/>
    </row>
    <row r="134" spans="1:5" ht="12" customHeight="1">
      <c r="A134" s="15" t="s">
        <v>262</v>
      </c>
      <c r="B134" s="12" t="s">
        <v>448</v>
      </c>
      <c r="C134" s="372">
        <v>14996276</v>
      </c>
      <c r="D134" s="372"/>
      <c r="E134" s="240"/>
    </row>
    <row r="135" spans="1:5" ht="12" customHeight="1" thickBot="1">
      <c r="A135" s="13" t="s">
        <v>263</v>
      </c>
      <c r="B135" s="12" t="s">
        <v>449</v>
      </c>
      <c r="C135" s="372"/>
      <c r="D135" s="372"/>
      <c r="E135" s="240"/>
    </row>
    <row r="136" spans="1:5" ht="12" customHeight="1" thickBot="1">
      <c r="A136" s="20" t="s">
        <v>22</v>
      </c>
      <c r="B136" s="119" t="s">
        <v>441</v>
      </c>
      <c r="C136" s="371">
        <f>SUM(C137:C142)</f>
        <v>0</v>
      </c>
      <c r="D136" s="371">
        <f>SUM(D137:D142)</f>
        <v>0</v>
      </c>
      <c r="E136" s="239">
        <f>SUM(E137:E142)</f>
        <v>0</v>
      </c>
    </row>
    <row r="137" spans="1:5" ht="12" customHeight="1">
      <c r="A137" s="15" t="s">
        <v>91</v>
      </c>
      <c r="B137" s="9" t="s">
        <v>450</v>
      </c>
      <c r="C137" s="372"/>
      <c r="D137" s="372"/>
      <c r="E137" s="240"/>
    </row>
    <row r="138" spans="1:5" ht="12" customHeight="1">
      <c r="A138" s="15" t="s">
        <v>92</v>
      </c>
      <c r="B138" s="9" t="s">
        <v>442</v>
      </c>
      <c r="C138" s="372"/>
      <c r="D138" s="372"/>
      <c r="E138" s="240"/>
    </row>
    <row r="139" spans="1:5" ht="12" customHeight="1">
      <c r="A139" s="15" t="s">
        <v>93</v>
      </c>
      <c r="B139" s="9" t="s">
        <v>443</v>
      </c>
      <c r="C139" s="372"/>
      <c r="D139" s="372"/>
      <c r="E139" s="240"/>
    </row>
    <row r="140" spans="1:5" ht="12" customHeight="1">
      <c r="A140" s="15" t="s">
        <v>173</v>
      </c>
      <c r="B140" s="9" t="s">
        <v>444</v>
      </c>
      <c r="C140" s="372"/>
      <c r="D140" s="372"/>
      <c r="E140" s="240"/>
    </row>
    <row r="141" spans="1:5" ht="12" customHeight="1">
      <c r="A141" s="15" t="s">
        <v>174</v>
      </c>
      <c r="B141" s="9" t="s">
        <v>445</v>
      </c>
      <c r="C141" s="372"/>
      <c r="D141" s="372"/>
      <c r="E141" s="240"/>
    </row>
    <row r="142" spans="1:5" ht="12" customHeight="1" thickBot="1">
      <c r="A142" s="13" t="s">
        <v>175</v>
      </c>
      <c r="B142" s="9" t="s">
        <v>446</v>
      </c>
      <c r="C142" s="372"/>
      <c r="D142" s="372"/>
      <c r="E142" s="240"/>
    </row>
    <row r="143" spans="1:5" ht="12" customHeight="1" thickBot="1">
      <c r="A143" s="20" t="s">
        <v>23</v>
      </c>
      <c r="B143" s="119" t="s">
        <v>454</v>
      </c>
      <c r="C143" s="378">
        <f>+C144+C145+C146+C147</f>
        <v>11401107</v>
      </c>
      <c r="D143" s="378">
        <f>+D144+D145+D146+D147</f>
        <v>15005796</v>
      </c>
      <c r="E143" s="420">
        <f>+E144+E145+E146+E147</f>
        <v>19897658</v>
      </c>
    </row>
    <row r="144" spans="1:5" ht="12" customHeight="1">
      <c r="A144" s="15" t="s">
        <v>94</v>
      </c>
      <c r="B144" s="9" t="s">
        <v>362</v>
      </c>
      <c r="C144" s="372"/>
      <c r="D144" s="372"/>
      <c r="E144" s="240"/>
    </row>
    <row r="145" spans="1:5" ht="12" customHeight="1">
      <c r="A145" s="15" t="s">
        <v>95</v>
      </c>
      <c r="B145" s="9" t="s">
        <v>363</v>
      </c>
      <c r="C145" s="372">
        <v>11401107</v>
      </c>
      <c r="D145" s="372">
        <v>15005796</v>
      </c>
      <c r="E145" s="240">
        <v>19897658</v>
      </c>
    </row>
    <row r="146" spans="1:5" ht="12" customHeight="1">
      <c r="A146" s="15" t="s">
        <v>279</v>
      </c>
      <c r="B146" s="9" t="s">
        <v>455</v>
      </c>
      <c r="C146" s="372"/>
      <c r="D146" s="372"/>
      <c r="E146" s="240"/>
    </row>
    <row r="147" spans="1:5" ht="12" customHeight="1" thickBot="1">
      <c r="A147" s="13" t="s">
        <v>280</v>
      </c>
      <c r="B147" s="7" t="s">
        <v>381</v>
      </c>
      <c r="C147" s="372"/>
      <c r="D147" s="372"/>
      <c r="E147" s="240"/>
    </row>
    <row r="148" spans="1:5" ht="12" customHeight="1" thickBot="1">
      <c r="A148" s="20" t="s">
        <v>24</v>
      </c>
      <c r="B148" s="119" t="s">
        <v>456</v>
      </c>
      <c r="C148" s="473">
        <f>SUM(C149:C153)</f>
        <v>0</v>
      </c>
      <c r="D148" s="473">
        <f>SUM(D149:D153)</f>
        <v>0</v>
      </c>
      <c r="E148" s="467">
        <f>SUM(E149:E153)</f>
        <v>0</v>
      </c>
    </row>
    <row r="149" spans="1:5" ht="12" customHeight="1">
      <c r="A149" s="15" t="s">
        <v>96</v>
      </c>
      <c r="B149" s="9" t="s">
        <v>451</v>
      </c>
      <c r="C149" s="372"/>
      <c r="D149" s="372"/>
      <c r="E149" s="240"/>
    </row>
    <row r="150" spans="1:5" ht="12" customHeight="1">
      <c r="A150" s="15" t="s">
        <v>97</v>
      </c>
      <c r="B150" s="9" t="s">
        <v>458</v>
      </c>
      <c r="C150" s="372"/>
      <c r="D150" s="372"/>
      <c r="E150" s="240"/>
    </row>
    <row r="151" spans="1:5" ht="12" customHeight="1">
      <c r="A151" s="15" t="s">
        <v>291</v>
      </c>
      <c r="B151" s="9" t="s">
        <v>453</v>
      </c>
      <c r="C151" s="372"/>
      <c r="D151" s="372"/>
      <c r="E151" s="240"/>
    </row>
    <row r="152" spans="1:5" ht="12" customHeight="1">
      <c r="A152" s="15" t="s">
        <v>292</v>
      </c>
      <c r="B152" s="9" t="s">
        <v>459</v>
      </c>
      <c r="C152" s="372"/>
      <c r="D152" s="372"/>
      <c r="E152" s="240"/>
    </row>
    <row r="153" spans="1:5" ht="12" customHeight="1" thickBot="1">
      <c r="A153" s="15" t="s">
        <v>457</v>
      </c>
      <c r="B153" s="9" t="s">
        <v>460</v>
      </c>
      <c r="C153" s="372"/>
      <c r="D153" s="372"/>
      <c r="E153" s="240"/>
    </row>
    <row r="154" spans="1:5" ht="12" customHeight="1" thickBot="1">
      <c r="A154" s="20" t="s">
        <v>25</v>
      </c>
      <c r="B154" s="119" t="s">
        <v>461</v>
      </c>
      <c r="C154" s="474"/>
      <c r="D154" s="474"/>
      <c r="E154" s="468"/>
    </row>
    <row r="155" spans="1:5" ht="12" customHeight="1" thickBot="1">
      <c r="A155" s="20" t="s">
        <v>26</v>
      </c>
      <c r="B155" s="119" t="s">
        <v>462</v>
      </c>
      <c r="C155" s="474"/>
      <c r="D155" s="474"/>
      <c r="E155" s="468"/>
    </row>
    <row r="156" spans="1:6" ht="15" customHeight="1" thickBot="1">
      <c r="A156" s="20" t="s">
        <v>27</v>
      </c>
      <c r="B156" s="119" t="s">
        <v>464</v>
      </c>
      <c r="C156" s="475">
        <f>+C132+C136+C143+C148+C154+C155</f>
        <v>26397383</v>
      </c>
      <c r="D156" s="475">
        <f>+D132+D136+D143+D148+D154+D155</f>
        <v>15005796</v>
      </c>
      <c r="E156" s="469">
        <f>+E132+E136+E143+E148+E154+E155</f>
        <v>19897658</v>
      </c>
      <c r="F156" s="120"/>
    </row>
    <row r="157" spans="1:5" s="1" customFormat="1" ht="12.75" customHeight="1" thickBot="1">
      <c r="A157" s="270" t="s">
        <v>28</v>
      </c>
      <c r="B157" s="354" t="s">
        <v>463</v>
      </c>
      <c r="C157" s="475">
        <f>+C131+C156</f>
        <v>1727223842</v>
      </c>
      <c r="D157" s="475">
        <f>+D131+D156</f>
        <v>1633476834</v>
      </c>
      <c r="E157" s="469">
        <f>+E131+E156</f>
        <v>2167553345</v>
      </c>
    </row>
    <row r="158" spans="3:5" ht="15.75">
      <c r="C158" s="357"/>
      <c r="E158" s="621">
        <f>E90-E157</f>
        <v>0</v>
      </c>
    </row>
    <row r="159" ht="15.75">
      <c r="C159" s="357"/>
    </row>
    <row r="160" ht="15.75">
      <c r="C160" s="357"/>
    </row>
    <row r="161" ht="16.5" customHeight="1">
      <c r="C161" s="357"/>
    </row>
    <row r="162" ht="15.75">
      <c r="C162" s="357"/>
    </row>
    <row r="163" ht="15.75">
      <c r="C163" s="357"/>
    </row>
    <row r="164" ht="15.75">
      <c r="C164" s="357"/>
    </row>
    <row r="165" ht="15.75">
      <c r="C165" s="357"/>
    </row>
    <row r="166" ht="15.75">
      <c r="C166" s="357"/>
    </row>
    <row r="167" ht="15.75">
      <c r="C167" s="357"/>
    </row>
    <row r="168" ht="15.75">
      <c r="C168" s="357"/>
    </row>
    <row r="169" ht="15.75">
      <c r="C169" s="357"/>
    </row>
    <row r="170" ht="15.75">
      <c r="C170" s="357"/>
    </row>
  </sheetData>
  <sheetProtection/>
  <mergeCells count="6">
    <mergeCell ref="A4:E4"/>
    <mergeCell ref="A92:E92"/>
    <mergeCell ref="A93:B93"/>
    <mergeCell ref="A5:B5"/>
    <mergeCell ref="A2:E2"/>
    <mergeCell ref="A3:E3"/>
  </mergeCells>
  <printOptions horizontalCentered="1"/>
  <pageMargins left="0.7874015748031497" right="0.7874015748031497" top="0.6692913385826772" bottom="0.4724409448818898" header="0.3937007874015748" footer="0.1968503937007874"/>
  <pageSetup fitToHeight="2" fitToWidth="3" horizontalDpi="600" verticalDpi="600" orientation="portrait" paperSize="9" scale="65" r:id="rId1"/>
  <rowBreaks count="1" manualBreakCount="1">
    <brk id="9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164"/>
  <sheetViews>
    <sheetView tabSelected="1" zoomScale="120" zoomScaleNormal="120" zoomScaleSheetLayoutView="100" workbookViewId="0" topLeftCell="A1">
      <selection activeCell="E92" sqref="E92"/>
    </sheetView>
  </sheetViews>
  <sheetFormatPr defaultColWidth="9.00390625" defaultRowHeight="12.75"/>
  <cols>
    <col min="1" max="1" width="9.50390625" style="355" customWidth="1"/>
    <col min="2" max="2" width="99.375" style="355" customWidth="1"/>
    <col min="3" max="3" width="21.625" style="356" customWidth="1"/>
    <col min="4" max="4" width="9.00390625" style="386" customWidth="1"/>
    <col min="5" max="16384" width="9.375" style="386" customWidth="1"/>
  </cols>
  <sheetData>
    <row r="1" spans="1:3" ht="18.75" customHeight="1">
      <c r="A1" s="596"/>
      <c r="B1" s="736" t="str">
        <f>CONCATENATE("1.1. melléklet ",ALAPADATOK!A7," ",ALAPADATOK!B7," ",ALAPADATOK!C7," ",ALAPADATOK!D7," ",ALAPADATOK!E7," ",ALAPADATOK!F7," ",ALAPADATOK!G7," ",ALAPADATOK!H7)</f>
        <v>1.1. melléklet a … / 2021 ( … ) önkormányzati rendelethez</v>
      </c>
      <c r="C1" s="737"/>
    </row>
    <row r="2" spans="1:3" ht="21.75" customHeight="1">
      <c r="A2" s="597"/>
      <c r="B2" s="598" t="str">
        <f>CONCATENATE(ALAPADATOK!A3)</f>
        <v>SOLYMÁR NAGYKÖZSÉG ÖNKORMÁNYZATA</v>
      </c>
      <c r="C2" s="599"/>
    </row>
    <row r="3" spans="1:3" ht="21.75" customHeight="1">
      <c r="A3" s="599"/>
      <c r="B3" s="598" t="str">
        <f>CONCATENATE(ALAPADATOK!D7,". ÉVI KÖLTSÉGVETÉS")</f>
        <v>2021. ÉVI KÖLTSÉGVETÉS</v>
      </c>
      <c r="C3" s="599"/>
    </row>
    <row r="4" spans="1:3" ht="21.75" customHeight="1">
      <c r="A4" s="599"/>
      <c r="B4" s="598" t="s">
        <v>567</v>
      </c>
      <c r="C4" s="599"/>
    </row>
    <row r="5" spans="1:3" ht="21.75" customHeight="1">
      <c r="A5" s="596"/>
      <c r="B5" s="596"/>
      <c r="C5" s="600"/>
    </row>
    <row r="6" spans="1:3" ht="15" customHeight="1">
      <c r="A6" s="738" t="s">
        <v>15</v>
      </c>
      <c r="B6" s="738"/>
      <c r="C6" s="738"/>
    </row>
    <row r="7" spans="1:3" ht="15" customHeight="1" thickBot="1">
      <c r="A7" s="739" t="s">
        <v>150</v>
      </c>
      <c r="B7" s="739"/>
      <c r="C7" s="548" t="s">
        <v>554</v>
      </c>
    </row>
    <row r="8" spans="1:3" ht="24" customHeight="1" thickBot="1">
      <c r="A8" s="601" t="s">
        <v>69</v>
      </c>
      <c r="B8" s="602" t="s">
        <v>17</v>
      </c>
      <c r="C8" s="603" t="str">
        <f>+CONCATENATE(LEFT(KV_ÖSSZEFÜGGÉSEK!A5,4),". évi előirányzat")</f>
        <v>2021. évi előirányzat</v>
      </c>
    </row>
    <row r="9" spans="1:3" s="387" customFormat="1" ht="12" customHeight="1" thickBot="1">
      <c r="A9" s="533"/>
      <c r="B9" s="534" t="s">
        <v>484</v>
      </c>
      <c r="C9" s="535" t="s">
        <v>485</v>
      </c>
    </row>
    <row r="10" spans="1:3" s="388" customFormat="1" ht="12" customHeight="1" thickBot="1">
      <c r="A10" s="20" t="s">
        <v>18</v>
      </c>
      <c r="B10" s="21" t="s">
        <v>245</v>
      </c>
      <c r="C10" s="272">
        <f>+C11+C12+C13+C14+C15+C16</f>
        <v>497441457</v>
      </c>
    </row>
    <row r="11" spans="1:3" s="388" customFormat="1" ht="12" customHeight="1">
      <c r="A11" s="15" t="s">
        <v>98</v>
      </c>
      <c r="B11" s="389" t="s">
        <v>246</v>
      </c>
      <c r="C11" s="275">
        <f>'KV_9.1.sz.mell'!C9</f>
        <v>223720930</v>
      </c>
    </row>
    <row r="12" spans="1:3" s="388" customFormat="1" ht="12" customHeight="1">
      <c r="A12" s="14" t="s">
        <v>99</v>
      </c>
      <c r="B12" s="390" t="s">
        <v>247</v>
      </c>
      <c r="C12" s="275">
        <f>'KV_9.1.sz.mell'!C10</f>
        <v>144810450</v>
      </c>
    </row>
    <row r="13" spans="1:3" s="388" customFormat="1" ht="12" customHeight="1">
      <c r="A13" s="14" t="s">
        <v>100</v>
      </c>
      <c r="B13" s="390" t="s">
        <v>541</v>
      </c>
      <c r="C13" s="275">
        <f>'KV_9.1.sz.mell'!C11</f>
        <v>104408607</v>
      </c>
    </row>
    <row r="14" spans="1:3" s="388" customFormat="1" ht="12" customHeight="1">
      <c r="A14" s="14" t="s">
        <v>101</v>
      </c>
      <c r="B14" s="390" t="s">
        <v>249</v>
      </c>
      <c r="C14" s="275">
        <f>'KV_9.1.sz.mell'!C12</f>
        <v>24501470</v>
      </c>
    </row>
    <row r="15" spans="1:3" s="388" customFormat="1" ht="12" customHeight="1">
      <c r="A15" s="14" t="s">
        <v>146</v>
      </c>
      <c r="B15" s="268" t="s">
        <v>423</v>
      </c>
      <c r="C15" s="274"/>
    </row>
    <row r="16" spans="1:3" s="388" customFormat="1" ht="12" customHeight="1" thickBot="1">
      <c r="A16" s="16" t="s">
        <v>102</v>
      </c>
      <c r="B16" s="269" t="s">
        <v>424</v>
      </c>
      <c r="C16" s="274"/>
    </row>
    <row r="17" spans="1:3" s="388" customFormat="1" ht="12" customHeight="1" thickBot="1">
      <c r="A17" s="20" t="s">
        <v>19</v>
      </c>
      <c r="B17" s="267" t="s">
        <v>250</v>
      </c>
      <c r="C17" s="272">
        <f>+C18+C19+C20+C21+C22</f>
        <v>44219839</v>
      </c>
    </row>
    <row r="18" spans="1:3" s="388" customFormat="1" ht="12" customHeight="1">
      <c r="A18" s="15" t="s">
        <v>104</v>
      </c>
      <c r="B18" s="389" t="s">
        <v>251</v>
      </c>
      <c r="C18" s="275">
        <f>'KV_9.1.sz.mell'!C16</f>
        <v>0</v>
      </c>
    </row>
    <row r="19" spans="1:3" s="388" customFormat="1" ht="12" customHeight="1">
      <c r="A19" s="14" t="s">
        <v>105</v>
      </c>
      <c r="B19" s="390" t="s">
        <v>252</v>
      </c>
      <c r="C19" s="275">
        <f>'KV_9.1.sz.mell'!C17</f>
        <v>0</v>
      </c>
    </row>
    <row r="20" spans="1:3" s="388" customFormat="1" ht="12" customHeight="1">
      <c r="A20" s="14" t="s">
        <v>106</v>
      </c>
      <c r="B20" s="390" t="s">
        <v>413</v>
      </c>
      <c r="C20" s="275">
        <f>'KV_9.1.sz.mell'!C18</f>
        <v>0</v>
      </c>
    </row>
    <row r="21" spans="1:3" s="388" customFormat="1" ht="12" customHeight="1">
      <c r="A21" s="14" t="s">
        <v>107</v>
      </c>
      <c r="B21" s="390" t="s">
        <v>414</v>
      </c>
      <c r="C21" s="275">
        <f>'KV_9.1.sz.mell'!C19</f>
        <v>0</v>
      </c>
    </row>
    <row r="22" spans="1:3" s="388" customFormat="1" ht="12" customHeight="1">
      <c r="A22" s="14" t="s">
        <v>108</v>
      </c>
      <c r="B22" s="390" t="s">
        <v>562</v>
      </c>
      <c r="C22" s="275">
        <f>'KV_9.1.sz.mell'!C20</f>
        <v>44219839</v>
      </c>
    </row>
    <row r="23" spans="1:3" s="388" customFormat="1" ht="12" customHeight="1" thickBot="1">
      <c r="A23" s="16" t="s">
        <v>117</v>
      </c>
      <c r="B23" s="269" t="s">
        <v>254</v>
      </c>
      <c r="C23" s="275">
        <f>'KV_9.1.sz.mell'!C21</f>
        <v>0</v>
      </c>
    </row>
    <row r="24" spans="1:3" s="388" customFormat="1" ht="12" customHeight="1" thickBot="1">
      <c r="A24" s="20" t="s">
        <v>20</v>
      </c>
      <c r="B24" s="21" t="s">
        <v>255</v>
      </c>
      <c r="C24" s="272">
        <f>+C25+C26+C27+C28+C29</f>
        <v>63310137</v>
      </c>
    </row>
    <row r="25" spans="1:3" s="388" customFormat="1" ht="12" customHeight="1">
      <c r="A25" s="15" t="s">
        <v>87</v>
      </c>
      <c r="B25" s="389" t="s">
        <v>256</v>
      </c>
      <c r="C25" s="275">
        <f>'KV_9.1.sz.mell'!C23</f>
        <v>0</v>
      </c>
    </row>
    <row r="26" spans="1:3" s="388" customFormat="1" ht="12" customHeight="1">
      <c r="A26" s="14" t="s">
        <v>88</v>
      </c>
      <c r="B26" s="390" t="s">
        <v>257</v>
      </c>
      <c r="C26" s="275">
        <f>'KV_9.1.sz.mell'!C24</f>
        <v>0</v>
      </c>
    </row>
    <row r="27" spans="1:3" s="388" customFormat="1" ht="12" customHeight="1">
      <c r="A27" s="14" t="s">
        <v>89</v>
      </c>
      <c r="B27" s="390" t="s">
        <v>415</v>
      </c>
      <c r="C27" s="275">
        <f>'KV_9.1.sz.mell'!C25</f>
        <v>0</v>
      </c>
    </row>
    <row r="28" spans="1:3" s="388" customFormat="1" ht="12" customHeight="1">
      <c r="A28" s="14" t="s">
        <v>90</v>
      </c>
      <c r="B28" s="390" t="s">
        <v>416</v>
      </c>
      <c r="C28" s="275">
        <f>'KV_9.1.sz.mell'!C26</f>
        <v>0</v>
      </c>
    </row>
    <row r="29" spans="1:3" s="388" customFormat="1" ht="12" customHeight="1">
      <c r="A29" s="14" t="s">
        <v>169</v>
      </c>
      <c r="B29" s="390" t="s">
        <v>258</v>
      </c>
      <c r="C29" s="275">
        <f>'KV_9.1.sz.mell'!C27</f>
        <v>63310137</v>
      </c>
    </row>
    <row r="30" spans="1:3" s="526" customFormat="1" ht="12" customHeight="1" thickBot="1">
      <c r="A30" s="536" t="s">
        <v>170</v>
      </c>
      <c r="B30" s="524" t="s">
        <v>557</v>
      </c>
      <c r="C30" s="275">
        <f>'KV_9.1.sz.mell'!C28</f>
        <v>63310137</v>
      </c>
    </row>
    <row r="31" spans="1:3" s="388" customFormat="1" ht="12" customHeight="1" thickBot="1">
      <c r="A31" s="20" t="s">
        <v>171</v>
      </c>
      <c r="B31" s="21" t="s">
        <v>542</v>
      </c>
      <c r="C31" s="278">
        <f>SUM(C32:C38)</f>
        <v>840000000</v>
      </c>
    </row>
    <row r="32" spans="1:3" s="388" customFormat="1" ht="12" customHeight="1">
      <c r="A32" s="15" t="s">
        <v>261</v>
      </c>
      <c r="B32" s="389" t="s">
        <v>546</v>
      </c>
      <c r="C32" s="275">
        <f>'KV_9.1.sz.mell'!C30</f>
        <v>211000000</v>
      </c>
    </row>
    <row r="33" spans="1:3" s="388" customFormat="1" ht="12" customHeight="1">
      <c r="A33" s="14" t="s">
        <v>262</v>
      </c>
      <c r="B33" s="390" t="s">
        <v>640</v>
      </c>
      <c r="C33" s="275">
        <f>'KV_9.1.sz.mell'!C31</f>
        <v>135000000</v>
      </c>
    </row>
    <row r="34" spans="1:3" s="388" customFormat="1" ht="12" customHeight="1">
      <c r="A34" s="14" t="s">
        <v>263</v>
      </c>
      <c r="B34" s="390" t="s">
        <v>547</v>
      </c>
      <c r="C34" s="275">
        <f>'KV_9.1.sz.mell'!C32</f>
        <v>480000000</v>
      </c>
    </row>
    <row r="35" spans="1:3" s="388" customFormat="1" ht="12" customHeight="1">
      <c r="A35" s="14" t="s">
        <v>264</v>
      </c>
      <c r="B35" s="390" t="s">
        <v>548</v>
      </c>
      <c r="C35" s="275">
        <f>'KV_9.1.sz.mell'!C33</f>
        <v>2000000</v>
      </c>
    </row>
    <row r="36" spans="1:3" s="388" customFormat="1" ht="12" customHeight="1">
      <c r="A36" s="14" t="s">
        <v>543</v>
      </c>
      <c r="B36" s="390" t="s">
        <v>265</v>
      </c>
      <c r="C36" s="275">
        <f>'KV_9.1.sz.mell'!C34</f>
        <v>0</v>
      </c>
    </row>
    <row r="37" spans="1:3" s="388" customFormat="1" ht="12" customHeight="1">
      <c r="A37" s="14" t="s">
        <v>544</v>
      </c>
      <c r="B37" s="390" t="s">
        <v>666</v>
      </c>
      <c r="C37" s="275">
        <f>'KV_9.1.sz.mell'!C35</f>
        <v>4000000</v>
      </c>
    </row>
    <row r="38" spans="1:3" s="388" customFormat="1" ht="12" customHeight="1" thickBot="1">
      <c r="A38" s="16" t="s">
        <v>545</v>
      </c>
      <c r="B38" s="645" t="s">
        <v>665</v>
      </c>
      <c r="C38" s="275">
        <f>'KV_9.1.sz.mell'!C36</f>
        <v>8000000</v>
      </c>
    </row>
    <row r="39" spans="1:3" s="388" customFormat="1" ht="12" customHeight="1" thickBot="1">
      <c r="A39" s="20" t="s">
        <v>22</v>
      </c>
      <c r="B39" s="21" t="s">
        <v>425</v>
      </c>
      <c r="C39" s="272">
        <f>SUM(C40:C50)</f>
        <v>78526256</v>
      </c>
    </row>
    <row r="40" spans="1:3" s="388" customFormat="1" ht="12" customHeight="1">
      <c r="A40" s="15" t="s">
        <v>91</v>
      </c>
      <c r="B40" s="389" t="s">
        <v>268</v>
      </c>
      <c r="C40" s="275">
        <f>'KV_9.1.sz.mell'!C38+'KV_9.2.sz.mell'!C9+'KV_9.3.sz.mell'!C9+'KV_9.4.sz.mell'!C9+'KV_9.5.sz.mell'!C9</f>
        <v>0</v>
      </c>
    </row>
    <row r="41" spans="1:3" s="388" customFormat="1" ht="12" customHeight="1">
      <c r="A41" s="14" t="s">
        <v>92</v>
      </c>
      <c r="B41" s="390" t="s">
        <v>269</v>
      </c>
      <c r="C41" s="275">
        <f>'KV_9.1.sz.mell'!C39+'KV_9.2.sz.mell'!C10+'KV_9.3.sz.mell'!C10+'KV_9.4.sz.mell'!C10+'KV_9.5.sz.mell'!C10</f>
        <v>14294171</v>
      </c>
    </row>
    <row r="42" spans="1:3" s="388" customFormat="1" ht="12" customHeight="1">
      <c r="A42" s="14" t="s">
        <v>93</v>
      </c>
      <c r="B42" s="390" t="s">
        <v>270</v>
      </c>
      <c r="C42" s="275">
        <f>'KV_9.1.sz.mell'!C40+'KV_9.2.sz.mell'!C11+'KV_9.3.sz.mell'!C11+'KV_9.4.sz.mell'!C11+'KV_9.5.sz.mell'!C11</f>
        <v>0</v>
      </c>
    </row>
    <row r="43" spans="1:3" s="388" customFormat="1" ht="12" customHeight="1">
      <c r="A43" s="14" t="s">
        <v>173</v>
      </c>
      <c r="B43" s="390" t="s">
        <v>271</v>
      </c>
      <c r="C43" s="275">
        <f>'KV_9.1.sz.mell'!C41+'KV_9.2.sz.mell'!C12+'KV_9.3.sz.mell'!C12+'KV_9.4.sz.mell'!C12+'KV_9.5.sz.mell'!C12</f>
        <v>22243200</v>
      </c>
    </row>
    <row r="44" spans="1:3" s="388" customFormat="1" ht="12" customHeight="1">
      <c r="A44" s="14" t="s">
        <v>174</v>
      </c>
      <c r="B44" s="390" t="s">
        <v>272</v>
      </c>
      <c r="C44" s="275">
        <f>'KV_9.1.sz.mell'!C42+'KV_9.2.sz.mell'!C13+'KV_9.3.sz.mell'!C13+'KV_9.4.sz.mell'!C13+'KV_9.5.sz.mell'!C13</f>
        <v>26577947</v>
      </c>
    </row>
    <row r="45" spans="1:3" s="388" customFormat="1" ht="12" customHeight="1">
      <c r="A45" s="14" t="s">
        <v>175</v>
      </c>
      <c r="B45" s="390" t="s">
        <v>273</v>
      </c>
      <c r="C45" s="275">
        <f>'KV_9.1.sz.mell'!C43+'KV_9.2.sz.mell'!C14+'KV_9.3.sz.mell'!C14+'KV_9.4.sz.mell'!C14+'KV_9.5.sz.mell'!C14</f>
        <v>15380938</v>
      </c>
    </row>
    <row r="46" spans="1:3" s="388" customFormat="1" ht="12" customHeight="1">
      <c r="A46" s="14" t="s">
        <v>176</v>
      </c>
      <c r="B46" s="390" t="s">
        <v>274</v>
      </c>
      <c r="C46" s="275">
        <f>'KV_9.1.sz.mell'!C44+'KV_9.2.sz.mell'!C15+'KV_9.3.sz.mell'!C15+'KV_9.4.sz.mell'!C15+'KV_9.5.sz.mell'!C15</f>
        <v>0</v>
      </c>
    </row>
    <row r="47" spans="1:3" s="388" customFormat="1" ht="12" customHeight="1">
      <c r="A47" s="14" t="s">
        <v>177</v>
      </c>
      <c r="B47" s="390" t="s">
        <v>549</v>
      </c>
      <c r="C47" s="275">
        <f>'KV_9.1.sz.mell'!C45+'KV_9.2.sz.mell'!C16+'KV_9.3.sz.mell'!C16+'KV_9.4.sz.mell'!C16+'KV_9.5.sz.mell'!C16</f>
        <v>0</v>
      </c>
    </row>
    <row r="48" spans="1:3" s="388" customFormat="1" ht="12" customHeight="1">
      <c r="A48" s="14" t="s">
        <v>266</v>
      </c>
      <c r="B48" s="390" t="s">
        <v>276</v>
      </c>
      <c r="C48" s="275">
        <f>'KV_9.1.sz.mell'!C46+'KV_9.2.sz.mell'!C17+'KV_9.3.sz.mell'!C17+'KV_9.4.sz.mell'!C17+'KV_9.5.sz.mell'!C17</f>
        <v>0</v>
      </c>
    </row>
    <row r="49" spans="1:3" s="388" customFormat="1" ht="12" customHeight="1">
      <c r="A49" s="16" t="s">
        <v>267</v>
      </c>
      <c r="B49" s="391" t="s">
        <v>427</v>
      </c>
      <c r="C49" s="275">
        <f>'KV_9.1.sz.mell'!C47+'KV_9.2.sz.mell'!C18+'KV_9.3.sz.mell'!C18+'KV_9.4.sz.mell'!C18+'KV_9.5.sz.mell'!C18</f>
        <v>0</v>
      </c>
    </row>
    <row r="50" spans="1:3" s="388" customFormat="1" ht="12" customHeight="1" thickBot="1">
      <c r="A50" s="16" t="s">
        <v>426</v>
      </c>
      <c r="B50" s="269" t="s">
        <v>277</v>
      </c>
      <c r="C50" s="275">
        <f>'KV_9.1.sz.mell'!C48+'KV_9.2.sz.mell'!C19+'KV_9.3.sz.mell'!C19+'KV_9.4.sz.mell'!C19+'KV_9.5.sz.mell'!C19</f>
        <v>30000</v>
      </c>
    </row>
    <row r="51" spans="1:3" s="388" customFormat="1" ht="12" customHeight="1" thickBot="1">
      <c r="A51" s="20" t="s">
        <v>23</v>
      </c>
      <c r="B51" s="21" t="s">
        <v>278</v>
      </c>
      <c r="C51" s="272">
        <f>SUM(C52:C56)</f>
        <v>260000000</v>
      </c>
    </row>
    <row r="52" spans="1:3" s="388" customFormat="1" ht="12" customHeight="1">
      <c r="A52" s="15" t="s">
        <v>94</v>
      </c>
      <c r="B52" s="389" t="s">
        <v>282</v>
      </c>
      <c r="C52" s="275">
        <f>'KV_9.1.sz.mell'!C50+'KV_9.2.sz.mell'!C21+'KV_9.3.sz.mell'!C21+'KV_9.4.sz.mell'!C21+'KV_9.5.sz.mell'!C21</f>
        <v>0</v>
      </c>
    </row>
    <row r="53" spans="1:3" s="388" customFormat="1" ht="12" customHeight="1">
      <c r="A53" s="14" t="s">
        <v>95</v>
      </c>
      <c r="B53" s="390" t="s">
        <v>283</v>
      </c>
      <c r="C53" s="275">
        <f>'KV_9.1.sz.mell'!C51+'KV_9.2.sz.mell'!C22+'KV_9.3.sz.mell'!C22+'KV_9.4.sz.mell'!C22+'KV_9.5.sz.mell'!C22</f>
        <v>260000000</v>
      </c>
    </row>
    <row r="54" spans="1:3" s="388" customFormat="1" ht="12" customHeight="1">
      <c r="A54" s="14" t="s">
        <v>279</v>
      </c>
      <c r="B54" s="390" t="s">
        <v>284</v>
      </c>
      <c r="C54" s="275">
        <f>'KV_9.1.sz.mell'!C52+'KV_9.2.sz.mell'!C23+'KV_9.3.sz.mell'!C23+'KV_9.4.sz.mell'!C23+'KV_9.5.sz.mell'!C23</f>
        <v>0</v>
      </c>
    </row>
    <row r="55" spans="1:3" s="388" customFormat="1" ht="12" customHeight="1">
      <c r="A55" s="14" t="s">
        <v>280</v>
      </c>
      <c r="B55" s="390" t="s">
        <v>285</v>
      </c>
      <c r="C55" s="275">
        <f>'KV_9.1.sz.mell'!C53+'KV_9.2.sz.mell'!C24+'KV_9.3.sz.mell'!C24+'KV_9.4.sz.mell'!C24+'KV_9.5.sz.mell'!C24</f>
        <v>0</v>
      </c>
    </row>
    <row r="56" spans="1:3" s="388" customFormat="1" ht="12" customHeight="1" thickBot="1">
      <c r="A56" s="16" t="s">
        <v>281</v>
      </c>
      <c r="B56" s="269" t="s">
        <v>286</v>
      </c>
      <c r="C56" s="275">
        <f>'KV_9.1.sz.mell'!C54+'KV_9.2.sz.mell'!C25+'KV_9.3.sz.mell'!C25+'KV_9.4.sz.mell'!C25+'KV_9.5.sz.mell'!C25</f>
        <v>0</v>
      </c>
    </row>
    <row r="57" spans="1:3" s="388" customFormat="1" ht="12" customHeight="1" thickBot="1">
      <c r="A57" s="20" t="s">
        <v>178</v>
      </c>
      <c r="B57" s="21" t="s">
        <v>287</v>
      </c>
      <c r="C57" s="272">
        <f>SUM(C58:C60)</f>
        <v>12000000</v>
      </c>
    </row>
    <row r="58" spans="1:3" s="388" customFormat="1" ht="12" customHeight="1">
      <c r="A58" s="15" t="s">
        <v>96</v>
      </c>
      <c r="B58" s="389" t="s">
        <v>288</v>
      </c>
      <c r="C58" s="275">
        <f>'KV_9.1.sz.mell'!C56+'KV_9.2.sz.mell'!C27+'KV_9.3.sz.mell'!C27+'KV_9.4.sz.mell'!C27+'KV_9.5.sz.mell'!C27</f>
        <v>0</v>
      </c>
    </row>
    <row r="59" spans="1:3" s="388" customFormat="1" ht="12" customHeight="1">
      <c r="A59" s="14" t="s">
        <v>97</v>
      </c>
      <c r="B59" s="390" t="s">
        <v>417</v>
      </c>
      <c r="C59" s="275">
        <f>'KV_9.1.sz.mell'!C57+'KV_9.2.sz.mell'!C28+'KV_9.3.sz.mell'!C28+'KV_9.4.sz.mell'!C28+'KV_9.5.sz.mell'!C28</f>
        <v>12000000</v>
      </c>
    </row>
    <row r="60" spans="1:3" s="388" customFormat="1" ht="12" customHeight="1">
      <c r="A60" s="14" t="s">
        <v>291</v>
      </c>
      <c r="B60" s="390" t="s">
        <v>289</v>
      </c>
      <c r="C60" s="275">
        <f>'KV_9.1.sz.mell'!C58+'KV_9.2.sz.mell'!C29+'KV_9.3.sz.mell'!C29+'KV_9.4.sz.mell'!C29+'KV_9.5.sz.mell'!C29</f>
        <v>0</v>
      </c>
    </row>
    <row r="61" spans="1:3" s="388" customFormat="1" ht="12" customHeight="1" thickBot="1">
      <c r="A61" s="16" t="s">
        <v>292</v>
      </c>
      <c r="B61" s="269" t="s">
        <v>290</v>
      </c>
      <c r="C61" s="275">
        <f>'KV_9.1.sz.mell'!C59+'KV_9.2.sz.mell'!C30+'KV_9.3.sz.mell'!C30+'KV_9.4.sz.mell'!C30+'KV_9.5.sz.mell'!C30</f>
        <v>0</v>
      </c>
    </row>
    <row r="62" spans="1:3" s="388" customFormat="1" ht="12" customHeight="1" thickBot="1">
      <c r="A62" s="20" t="s">
        <v>25</v>
      </c>
      <c r="B62" s="267" t="s">
        <v>293</v>
      </c>
      <c r="C62" s="272">
        <f>SUM(C63:C65)</f>
        <v>235500</v>
      </c>
    </row>
    <row r="63" spans="1:3" s="388" customFormat="1" ht="12" customHeight="1">
      <c r="A63" s="15" t="s">
        <v>179</v>
      </c>
      <c r="B63" s="389" t="s">
        <v>295</v>
      </c>
      <c r="C63" s="275">
        <f>'KV_9.1.sz.mell'!C61+'KV_9.2.sz.mell'!C32+'KV_9.3.sz.mell'!C32+'KV_9.4.sz.mell'!C32+'KV_9.5.sz.mell'!C32</f>
        <v>0</v>
      </c>
    </row>
    <row r="64" spans="1:3" s="388" customFormat="1" ht="12" customHeight="1">
      <c r="A64" s="14" t="s">
        <v>180</v>
      </c>
      <c r="B64" s="390" t="s">
        <v>418</v>
      </c>
      <c r="C64" s="275">
        <f>'KV_9.1.sz.mell'!C62+'KV_9.2.sz.mell'!C33+'KV_9.3.sz.mell'!C33+'KV_9.4.sz.mell'!C33+'KV_9.5.sz.mell'!C33</f>
        <v>0</v>
      </c>
    </row>
    <row r="65" spans="1:3" s="388" customFormat="1" ht="12" customHeight="1">
      <c r="A65" s="14" t="s">
        <v>224</v>
      </c>
      <c r="B65" s="390" t="s">
        <v>296</v>
      </c>
      <c r="C65" s="275">
        <f>'KV_9.1.sz.mell'!C63+'KV_9.2.sz.mell'!C34+'KV_9.3.sz.mell'!C34+'KV_9.4.sz.mell'!C34+'KV_9.5.sz.mell'!C34</f>
        <v>235500</v>
      </c>
    </row>
    <row r="66" spans="1:3" s="388" customFormat="1" ht="12" customHeight="1" thickBot="1">
      <c r="A66" s="16" t="s">
        <v>294</v>
      </c>
      <c r="B66" s="269" t="s">
        <v>297</v>
      </c>
      <c r="C66" s="275">
        <f>'KV_9.1.sz.mell'!C64+'KV_9.2.sz.mell'!C35+'KV_9.3.sz.mell'!C35+'KV_9.4.sz.mell'!C35+'KV_9.5.sz.mell'!C35</f>
        <v>0</v>
      </c>
    </row>
    <row r="67" spans="1:3" s="388" customFormat="1" ht="12" customHeight="1" thickBot="1">
      <c r="A67" s="460" t="s">
        <v>467</v>
      </c>
      <c r="B67" s="21" t="s">
        <v>298</v>
      </c>
      <c r="C67" s="278">
        <f>+C10+C17+C24+C31+C39+C51+C57+C62</f>
        <v>1795733189</v>
      </c>
    </row>
    <row r="68" spans="1:3" s="388" customFormat="1" ht="12" customHeight="1" thickBot="1">
      <c r="A68" s="436" t="s">
        <v>299</v>
      </c>
      <c r="B68" s="267" t="s">
        <v>300</v>
      </c>
      <c r="C68" s="272">
        <f>SUM(C69:C71)</f>
        <v>0</v>
      </c>
    </row>
    <row r="69" spans="1:3" s="388" customFormat="1" ht="12" customHeight="1">
      <c r="A69" s="15" t="s">
        <v>328</v>
      </c>
      <c r="B69" s="389" t="s">
        <v>301</v>
      </c>
      <c r="C69" s="275"/>
    </row>
    <row r="70" spans="1:3" s="388" customFormat="1" ht="12" customHeight="1">
      <c r="A70" s="14" t="s">
        <v>337</v>
      </c>
      <c r="B70" s="390" t="s">
        <v>302</v>
      </c>
      <c r="C70" s="277"/>
    </row>
    <row r="71" spans="1:3" s="388" customFormat="1" ht="12" customHeight="1" thickBot="1">
      <c r="A71" s="16" t="s">
        <v>338</v>
      </c>
      <c r="B71" s="454" t="s">
        <v>558</v>
      </c>
      <c r="C71" s="277"/>
    </row>
    <row r="72" spans="1:3" s="388" customFormat="1" ht="12" customHeight="1" thickBot="1">
      <c r="A72" s="436" t="s">
        <v>304</v>
      </c>
      <c r="B72" s="267" t="s">
        <v>305</v>
      </c>
      <c r="C72" s="272">
        <f>SUM(C73:C76)</f>
        <v>0</v>
      </c>
    </row>
    <row r="73" spans="1:3" s="388" customFormat="1" ht="12" customHeight="1">
      <c r="A73" s="15" t="s">
        <v>147</v>
      </c>
      <c r="B73" s="389" t="s">
        <v>306</v>
      </c>
      <c r="C73" s="277"/>
    </row>
    <row r="74" spans="1:3" s="388" customFormat="1" ht="12" customHeight="1">
      <c r="A74" s="14" t="s">
        <v>148</v>
      </c>
      <c r="B74" s="390" t="s">
        <v>559</v>
      </c>
      <c r="C74" s="277"/>
    </row>
    <row r="75" spans="1:3" s="388" customFormat="1" ht="12" customHeight="1" thickBot="1">
      <c r="A75" s="16" t="s">
        <v>329</v>
      </c>
      <c r="B75" s="391" t="s">
        <v>307</v>
      </c>
      <c r="C75" s="377"/>
    </row>
    <row r="76" spans="1:3" s="388" customFormat="1" ht="12" customHeight="1" thickBot="1">
      <c r="A76" s="538" t="s">
        <v>330</v>
      </c>
      <c r="B76" s="539" t="s">
        <v>560</v>
      </c>
      <c r="C76" s="540"/>
    </row>
    <row r="77" spans="1:3" s="388" customFormat="1" ht="12" customHeight="1" thickBot="1">
      <c r="A77" s="436" t="s">
        <v>308</v>
      </c>
      <c r="B77" s="267" t="s">
        <v>309</v>
      </c>
      <c r="C77" s="272">
        <f>SUM(C78:C79)</f>
        <v>371820156</v>
      </c>
    </row>
    <row r="78" spans="1:3" s="388" customFormat="1" ht="12" customHeight="1" thickBot="1">
      <c r="A78" s="13" t="s">
        <v>331</v>
      </c>
      <c r="B78" s="537" t="s">
        <v>310</v>
      </c>
      <c r="C78" s="377">
        <f>'KV_9.1.sz.mell'!C76+'KV_9.2.sz.mell'!C39+'KV_9.3.sz.mell'!C38+'KV_9.4.sz.mell'!C38+'KV_9.5.sz.mell'!C38</f>
        <v>371820156</v>
      </c>
    </row>
    <row r="79" spans="1:3" s="388" customFormat="1" ht="12" customHeight="1" thickBot="1">
      <c r="A79" s="538" t="s">
        <v>332</v>
      </c>
      <c r="B79" s="539" t="s">
        <v>311</v>
      </c>
      <c r="C79" s="540"/>
    </row>
    <row r="80" spans="1:3" s="388" customFormat="1" ht="12" customHeight="1" thickBot="1">
      <c r="A80" s="436" t="s">
        <v>312</v>
      </c>
      <c r="B80" s="267" t="s">
        <v>313</v>
      </c>
      <c r="C80" s="272">
        <f>SUM(C81:C83)</f>
        <v>0</v>
      </c>
    </row>
    <row r="81" spans="1:3" s="388" customFormat="1" ht="12" customHeight="1">
      <c r="A81" s="15" t="s">
        <v>333</v>
      </c>
      <c r="B81" s="389" t="s">
        <v>314</v>
      </c>
      <c r="C81" s="277"/>
    </row>
    <row r="82" spans="1:3" s="388" customFormat="1" ht="12" customHeight="1">
      <c r="A82" s="14" t="s">
        <v>334</v>
      </c>
      <c r="B82" s="390" t="s">
        <v>315</v>
      </c>
      <c r="C82" s="277"/>
    </row>
    <row r="83" spans="1:3" s="388" customFormat="1" ht="12" customHeight="1" thickBot="1">
      <c r="A83" s="18" t="s">
        <v>335</v>
      </c>
      <c r="B83" s="541" t="s">
        <v>561</v>
      </c>
      <c r="C83" s="542"/>
    </row>
    <row r="84" spans="1:3" s="388" customFormat="1" ht="12" customHeight="1" thickBot="1">
      <c r="A84" s="436" t="s">
        <v>316</v>
      </c>
      <c r="B84" s="267" t="s">
        <v>336</v>
      </c>
      <c r="C84" s="272">
        <f>SUM(C85:C88)</f>
        <v>0</v>
      </c>
    </row>
    <row r="85" spans="1:3" s="388" customFormat="1" ht="12" customHeight="1">
      <c r="A85" s="393" t="s">
        <v>317</v>
      </c>
      <c r="B85" s="389" t="s">
        <v>318</v>
      </c>
      <c r="C85" s="277"/>
    </row>
    <row r="86" spans="1:3" s="388" customFormat="1" ht="12" customHeight="1">
      <c r="A86" s="394" t="s">
        <v>319</v>
      </c>
      <c r="B86" s="390" t="s">
        <v>320</v>
      </c>
      <c r="C86" s="277"/>
    </row>
    <row r="87" spans="1:3" s="388" customFormat="1" ht="12" customHeight="1">
      <c r="A87" s="394" t="s">
        <v>321</v>
      </c>
      <c r="B87" s="390" t="s">
        <v>322</v>
      </c>
      <c r="C87" s="277"/>
    </row>
    <row r="88" spans="1:3" s="388" customFormat="1" ht="12" customHeight="1" thickBot="1">
      <c r="A88" s="395" t="s">
        <v>323</v>
      </c>
      <c r="B88" s="269" t="s">
        <v>324</v>
      </c>
      <c r="C88" s="277"/>
    </row>
    <row r="89" spans="1:3" s="388" customFormat="1" ht="12" customHeight="1" thickBot="1">
      <c r="A89" s="436" t="s">
        <v>325</v>
      </c>
      <c r="B89" s="267" t="s">
        <v>466</v>
      </c>
      <c r="C89" s="434"/>
    </row>
    <row r="90" spans="1:3" s="388" customFormat="1" ht="13.5" customHeight="1" thickBot="1">
      <c r="A90" s="436" t="s">
        <v>327</v>
      </c>
      <c r="B90" s="267" t="s">
        <v>326</v>
      </c>
      <c r="C90" s="434"/>
    </row>
    <row r="91" spans="1:3" s="388" customFormat="1" ht="15.75" customHeight="1" thickBot="1">
      <c r="A91" s="436" t="s">
        <v>339</v>
      </c>
      <c r="B91" s="396" t="s">
        <v>469</v>
      </c>
      <c r="C91" s="278">
        <f>+C68+C72+C77+C80+C84+C90+C89</f>
        <v>371820156</v>
      </c>
    </row>
    <row r="92" spans="1:3" s="388" customFormat="1" ht="16.5" customHeight="1" thickBot="1">
      <c r="A92" s="437" t="s">
        <v>468</v>
      </c>
      <c r="B92" s="397" t="s">
        <v>470</v>
      </c>
      <c r="C92" s="278">
        <f>+C67+C91</f>
        <v>2167553345</v>
      </c>
    </row>
    <row r="93" spans="1:3" s="388" customFormat="1" ht="10.5" customHeight="1">
      <c r="A93" s="5"/>
      <c r="B93" s="6"/>
      <c r="C93" s="279"/>
    </row>
    <row r="94" spans="1:3" ht="16.5" customHeight="1">
      <c r="A94" s="743" t="s">
        <v>47</v>
      </c>
      <c r="B94" s="743"/>
      <c r="C94" s="743"/>
    </row>
    <row r="95" spans="1:3" s="398" customFormat="1" ht="16.5" customHeight="1" thickBot="1">
      <c r="A95" s="740" t="s">
        <v>151</v>
      </c>
      <c r="B95" s="740"/>
      <c r="C95" s="549" t="str">
        <f>C7</f>
        <v>Forintban!</v>
      </c>
    </row>
    <row r="96" spans="1:3" ht="30" customHeight="1" thickBot="1">
      <c r="A96" s="530" t="s">
        <v>69</v>
      </c>
      <c r="B96" s="531" t="s">
        <v>48</v>
      </c>
      <c r="C96" s="532" t="str">
        <f>+C8</f>
        <v>2021. évi előirányzat</v>
      </c>
    </row>
    <row r="97" spans="1:3" s="387" customFormat="1" ht="12" customHeight="1" thickBot="1">
      <c r="A97" s="530"/>
      <c r="B97" s="531" t="s">
        <v>484</v>
      </c>
      <c r="C97" s="532" t="s">
        <v>485</v>
      </c>
    </row>
    <row r="98" spans="1:3" ht="12" customHeight="1" thickBot="1">
      <c r="A98" s="22" t="s">
        <v>18</v>
      </c>
      <c r="B98" s="28" t="s">
        <v>428</v>
      </c>
      <c r="C98" s="272">
        <f>C99+C100+C101+C102+C103+C116</f>
        <v>1809398215</v>
      </c>
    </row>
    <row r="99" spans="1:3" ht="12" customHeight="1">
      <c r="A99" s="17" t="s">
        <v>98</v>
      </c>
      <c r="B99" s="10" t="s">
        <v>49</v>
      </c>
      <c r="C99" s="273">
        <f>'KV_9.1.sz.mell'!C94+'KV_9.2.sz.mell'!C47+'KV_9.3.sz.mell'!C46+'KV_9.4.sz.mell'!C46+'KV_9.5.sz.mell'!C46</f>
        <v>719820251</v>
      </c>
    </row>
    <row r="100" spans="1:3" ht="12" customHeight="1">
      <c r="A100" s="14" t="s">
        <v>99</v>
      </c>
      <c r="B100" s="8" t="s">
        <v>181</v>
      </c>
      <c r="C100" s="274">
        <f>'KV_9.1.sz.mell'!C95+'KV_9.2.sz.mell'!C48+'KV_9.3.sz.mell'!C47+'KV_9.4.sz.mell'!C47+'KV_9.5.sz.mell'!C47</f>
        <v>114113646</v>
      </c>
    </row>
    <row r="101" spans="1:3" ht="12" customHeight="1">
      <c r="A101" s="14" t="s">
        <v>100</v>
      </c>
      <c r="B101" s="8" t="s">
        <v>138</v>
      </c>
      <c r="C101" s="274">
        <f>'KV_9.1.sz.mell'!C96+'KV_9.2.sz.mell'!C49+'KV_9.3.sz.mell'!C48+'KV_9.4.sz.mell'!C48+'KV_9.5.sz.mell'!C48</f>
        <v>428497989</v>
      </c>
    </row>
    <row r="102" spans="1:3" ht="12" customHeight="1">
      <c r="A102" s="14" t="s">
        <v>101</v>
      </c>
      <c r="B102" s="11" t="s">
        <v>182</v>
      </c>
      <c r="C102" s="274">
        <f>'KV_9.1.sz.mell'!C97+'KV_9.2.sz.mell'!C50+'KV_9.3.sz.mell'!C49+'KV_9.4.sz.mell'!C49+'KV_9.5.sz.mell'!C49</f>
        <v>23800000</v>
      </c>
    </row>
    <row r="103" spans="1:3" ht="12" customHeight="1">
      <c r="A103" s="14" t="s">
        <v>112</v>
      </c>
      <c r="B103" s="19" t="s">
        <v>183</v>
      </c>
      <c r="C103" s="274">
        <f>'KV_9.1.sz.mell'!C98+'KV_9.2.sz.mell'!C51+'KV_9.3.sz.mell'!C50+'KV_9.4.sz.mell'!C50+'KV_9.5.sz.mell'!C50</f>
        <v>345664475</v>
      </c>
    </row>
    <row r="104" spans="1:3" ht="12" customHeight="1">
      <c r="A104" s="14" t="s">
        <v>102</v>
      </c>
      <c r="B104" s="8" t="s">
        <v>433</v>
      </c>
      <c r="C104" s="274">
        <f>'KV_9.1.sz.mell'!C99</f>
        <v>0</v>
      </c>
    </row>
    <row r="105" spans="1:3" ht="12" customHeight="1">
      <c r="A105" s="14" t="s">
        <v>103</v>
      </c>
      <c r="B105" s="139" t="s">
        <v>432</v>
      </c>
      <c r="C105" s="274">
        <f>'KV_9.1.sz.mell'!C100</f>
        <v>75942023</v>
      </c>
    </row>
    <row r="106" spans="1:3" ht="12" customHeight="1">
      <c r="A106" s="14" t="s">
        <v>113</v>
      </c>
      <c r="B106" s="139" t="s">
        <v>431</v>
      </c>
      <c r="C106" s="274">
        <f>'KV_9.1.sz.mell'!C101</f>
        <v>0</v>
      </c>
    </row>
    <row r="107" spans="1:3" ht="12" customHeight="1">
      <c r="A107" s="14" t="s">
        <v>114</v>
      </c>
      <c r="B107" s="137" t="s">
        <v>342</v>
      </c>
      <c r="C107" s="274">
        <f>'KV_9.1.sz.mell'!C102</f>
        <v>0</v>
      </c>
    </row>
    <row r="108" spans="1:3" ht="12" customHeight="1">
      <c r="A108" s="14" t="s">
        <v>115</v>
      </c>
      <c r="B108" s="138" t="s">
        <v>343</v>
      </c>
      <c r="C108" s="274">
        <f>'KV_9.1.sz.mell'!C103</f>
        <v>0</v>
      </c>
    </row>
    <row r="109" spans="1:3" ht="12" customHeight="1">
      <c r="A109" s="14" t="s">
        <v>116</v>
      </c>
      <c r="B109" s="138" t="s">
        <v>344</v>
      </c>
      <c r="C109" s="274">
        <f>'KV_9.1.sz.mell'!C104</f>
        <v>0</v>
      </c>
    </row>
    <row r="110" spans="1:3" ht="12" customHeight="1">
      <c r="A110" s="14" t="s">
        <v>118</v>
      </c>
      <c r="B110" s="137" t="s">
        <v>345</v>
      </c>
      <c r="C110" s="274">
        <f>'KV_9.1.sz.mell'!C105</f>
        <v>52309933</v>
      </c>
    </row>
    <row r="111" spans="1:3" ht="12" customHeight="1">
      <c r="A111" s="14" t="s">
        <v>184</v>
      </c>
      <c r="B111" s="137" t="s">
        <v>346</v>
      </c>
      <c r="C111" s="274">
        <f>'KV_9.1.sz.mell'!C106</f>
        <v>0</v>
      </c>
    </row>
    <row r="112" spans="1:3" ht="12" customHeight="1">
      <c r="A112" s="14" t="s">
        <v>340</v>
      </c>
      <c r="B112" s="138" t="s">
        <v>347</v>
      </c>
      <c r="C112" s="274">
        <f>'KV_9.1.sz.mell'!C107</f>
        <v>0</v>
      </c>
    </row>
    <row r="113" spans="1:3" ht="12" customHeight="1">
      <c r="A113" s="13" t="s">
        <v>341</v>
      </c>
      <c r="B113" s="139" t="s">
        <v>348</v>
      </c>
      <c r="C113" s="274">
        <f>'KV_9.1.sz.mell'!C108</f>
        <v>0</v>
      </c>
    </row>
    <row r="114" spans="1:3" ht="12" customHeight="1">
      <c r="A114" s="14" t="s">
        <v>429</v>
      </c>
      <c r="B114" s="139" t="s">
        <v>349</v>
      </c>
      <c r="C114" s="274">
        <f>'KV_9.1.sz.mell'!C109</f>
        <v>0</v>
      </c>
    </row>
    <row r="115" spans="1:3" ht="12" customHeight="1">
      <c r="A115" s="16" t="s">
        <v>430</v>
      </c>
      <c r="B115" s="139" t="s">
        <v>350</v>
      </c>
      <c r="C115" s="274">
        <f>'KV_9.1.sz.mell'!C110</f>
        <v>217412519</v>
      </c>
    </row>
    <row r="116" spans="1:3" ht="12" customHeight="1">
      <c r="A116" s="14" t="s">
        <v>434</v>
      </c>
      <c r="B116" s="11" t="s">
        <v>50</v>
      </c>
      <c r="C116" s="274">
        <f>'KV_9.1.sz.mell'!C111</f>
        <v>177501854</v>
      </c>
    </row>
    <row r="117" spans="1:3" ht="12" customHeight="1">
      <c r="A117" s="14" t="s">
        <v>435</v>
      </c>
      <c r="B117" s="8" t="s">
        <v>437</v>
      </c>
      <c r="C117" s="274">
        <f>'KV_9.1.sz.mell'!C112</f>
        <v>0</v>
      </c>
    </row>
    <row r="118" spans="1:3" ht="12" customHeight="1" thickBot="1">
      <c r="A118" s="18" t="s">
        <v>436</v>
      </c>
      <c r="B118" s="458" t="s">
        <v>438</v>
      </c>
      <c r="C118" s="274">
        <f>'KV_9.1.sz.mell'!C113</f>
        <v>177501854</v>
      </c>
    </row>
    <row r="119" spans="1:3" ht="12" customHeight="1" thickBot="1">
      <c r="A119" s="455" t="s">
        <v>19</v>
      </c>
      <c r="B119" s="456" t="s">
        <v>351</v>
      </c>
      <c r="C119" s="457">
        <f>+C120+C122+C124</f>
        <v>338257472</v>
      </c>
    </row>
    <row r="120" spans="1:3" ht="12" customHeight="1">
      <c r="A120" s="15" t="s">
        <v>104</v>
      </c>
      <c r="B120" s="8" t="s">
        <v>223</v>
      </c>
      <c r="C120" s="273">
        <f>'KV_9.1.sz.mell'!C115+'KV_9.2.sz.mell'!C53+'KV_9.3.sz.mell'!C52+'KV_9.4.sz.mell'!C52+'KV_9.5.sz.mell'!C52</f>
        <v>171418086</v>
      </c>
    </row>
    <row r="121" spans="1:3" ht="12" customHeight="1">
      <c r="A121" s="15" t="s">
        <v>105</v>
      </c>
      <c r="B121" s="12" t="s">
        <v>355</v>
      </c>
      <c r="C121" s="275">
        <f>'KV_9.1.sz.mell'!C116</f>
        <v>0</v>
      </c>
    </row>
    <row r="122" spans="1:3" ht="12" customHeight="1">
      <c r="A122" s="15" t="s">
        <v>106</v>
      </c>
      <c r="B122" s="12" t="s">
        <v>185</v>
      </c>
      <c r="C122" s="274">
        <f>'KV_9.1.sz.mell'!C117+'KV_9.2.sz.mell'!C54+'KV_9.3.sz.mell'!C53+'KV_9.4.sz.mell'!C53+'KV_9.5.sz.mell'!C53</f>
        <v>166839386</v>
      </c>
    </row>
    <row r="123" spans="1:3" ht="12" customHeight="1">
      <c r="A123" s="15" t="s">
        <v>107</v>
      </c>
      <c r="B123" s="12" t="s">
        <v>356</v>
      </c>
      <c r="C123" s="240">
        <f>'KV_9.1.sz.mell'!C118</f>
        <v>63310137</v>
      </c>
    </row>
    <row r="124" spans="1:3" ht="12" customHeight="1">
      <c r="A124" s="15" t="s">
        <v>108</v>
      </c>
      <c r="B124" s="269" t="s">
        <v>563</v>
      </c>
      <c r="C124" s="240"/>
    </row>
    <row r="125" spans="1:3" ht="12" customHeight="1">
      <c r="A125" s="15" t="s">
        <v>117</v>
      </c>
      <c r="B125" s="268" t="s">
        <v>419</v>
      </c>
      <c r="C125" s="240"/>
    </row>
    <row r="126" spans="1:3" ht="12" customHeight="1">
      <c r="A126" s="15" t="s">
        <v>119</v>
      </c>
      <c r="B126" s="385" t="s">
        <v>361</v>
      </c>
      <c r="C126" s="240"/>
    </row>
    <row r="127" spans="1:3" ht="15.75">
      <c r="A127" s="15" t="s">
        <v>186</v>
      </c>
      <c r="B127" s="138" t="s">
        <v>344</v>
      </c>
      <c r="C127" s="240"/>
    </row>
    <row r="128" spans="1:3" ht="12" customHeight="1">
      <c r="A128" s="15" t="s">
        <v>187</v>
      </c>
      <c r="B128" s="138" t="s">
        <v>360</v>
      </c>
      <c r="C128" s="240"/>
    </row>
    <row r="129" spans="1:3" ht="12" customHeight="1">
      <c r="A129" s="15" t="s">
        <v>188</v>
      </c>
      <c r="B129" s="138" t="s">
        <v>359</v>
      </c>
      <c r="C129" s="240"/>
    </row>
    <row r="130" spans="1:3" ht="12" customHeight="1">
      <c r="A130" s="15" t="s">
        <v>352</v>
      </c>
      <c r="B130" s="138" t="s">
        <v>347</v>
      </c>
      <c r="C130" s="240"/>
    </row>
    <row r="131" spans="1:3" ht="12" customHeight="1">
      <c r="A131" s="15" t="s">
        <v>353</v>
      </c>
      <c r="B131" s="138" t="s">
        <v>358</v>
      </c>
      <c r="C131" s="240"/>
    </row>
    <row r="132" spans="1:3" ht="16.5" thickBot="1">
      <c r="A132" s="13" t="s">
        <v>354</v>
      </c>
      <c r="B132" s="138" t="s">
        <v>357</v>
      </c>
      <c r="C132" s="242"/>
    </row>
    <row r="133" spans="1:3" ht="12" customHeight="1" thickBot="1">
      <c r="A133" s="20" t="s">
        <v>20</v>
      </c>
      <c r="B133" s="119" t="s">
        <v>439</v>
      </c>
      <c r="C133" s="272">
        <f>+C98+C119</f>
        <v>2147655687</v>
      </c>
    </row>
    <row r="134" spans="1:3" ht="12" customHeight="1" thickBot="1">
      <c r="A134" s="20" t="s">
        <v>21</v>
      </c>
      <c r="B134" s="119" t="s">
        <v>440</v>
      </c>
      <c r="C134" s="272">
        <f>+C135+C136+C137</f>
        <v>0</v>
      </c>
    </row>
    <row r="135" spans="1:3" ht="12" customHeight="1">
      <c r="A135" s="15" t="s">
        <v>261</v>
      </c>
      <c r="B135" s="12" t="s">
        <v>447</v>
      </c>
      <c r="C135" s="240"/>
    </row>
    <row r="136" spans="1:3" ht="12" customHeight="1">
      <c r="A136" s="15" t="s">
        <v>262</v>
      </c>
      <c r="B136" s="12" t="s">
        <v>448</v>
      </c>
      <c r="C136" s="240"/>
    </row>
    <row r="137" spans="1:3" ht="12" customHeight="1" thickBot="1">
      <c r="A137" s="13" t="s">
        <v>263</v>
      </c>
      <c r="B137" s="12" t="s">
        <v>449</v>
      </c>
      <c r="C137" s="240"/>
    </row>
    <row r="138" spans="1:3" ht="12" customHeight="1" thickBot="1">
      <c r="A138" s="20" t="s">
        <v>22</v>
      </c>
      <c r="B138" s="119" t="s">
        <v>441</v>
      </c>
      <c r="C138" s="272">
        <f>SUM(C139:C144)</f>
        <v>0</v>
      </c>
    </row>
    <row r="139" spans="1:3" ht="12" customHeight="1">
      <c r="A139" s="15" t="s">
        <v>91</v>
      </c>
      <c r="B139" s="9" t="s">
        <v>450</v>
      </c>
      <c r="C139" s="240"/>
    </row>
    <row r="140" spans="1:3" ht="12" customHeight="1">
      <c r="A140" s="15" t="s">
        <v>92</v>
      </c>
      <c r="B140" s="9" t="s">
        <v>442</v>
      </c>
      <c r="C140" s="240"/>
    </row>
    <row r="141" spans="1:3" ht="12" customHeight="1">
      <c r="A141" s="15" t="s">
        <v>93</v>
      </c>
      <c r="B141" s="9" t="s">
        <v>443</v>
      </c>
      <c r="C141" s="240"/>
    </row>
    <row r="142" spans="1:3" ht="12" customHeight="1">
      <c r="A142" s="15" t="s">
        <v>173</v>
      </c>
      <c r="B142" s="9" t="s">
        <v>444</v>
      </c>
      <c r="C142" s="240"/>
    </row>
    <row r="143" spans="1:3" ht="12" customHeight="1">
      <c r="A143" s="13" t="s">
        <v>174</v>
      </c>
      <c r="B143" s="7" t="s">
        <v>445</v>
      </c>
      <c r="C143" s="242"/>
    </row>
    <row r="144" spans="1:3" ht="12" customHeight="1" thickBot="1">
      <c r="A144" s="18" t="s">
        <v>175</v>
      </c>
      <c r="B144" s="688" t="s">
        <v>446</v>
      </c>
      <c r="C144" s="465"/>
    </row>
    <row r="145" spans="1:3" ht="12" customHeight="1" thickBot="1">
      <c r="A145" s="20" t="s">
        <v>23</v>
      </c>
      <c r="B145" s="119" t="s">
        <v>454</v>
      </c>
      <c r="C145" s="278">
        <f>+C146+C147+C148+C149</f>
        <v>19897658</v>
      </c>
    </row>
    <row r="146" spans="1:3" ht="12" customHeight="1">
      <c r="A146" s="15" t="s">
        <v>94</v>
      </c>
      <c r="B146" s="9" t="s">
        <v>362</v>
      </c>
      <c r="C146" s="240"/>
    </row>
    <row r="147" spans="1:3" ht="12" customHeight="1">
      <c r="A147" s="15" t="s">
        <v>95</v>
      </c>
      <c r="B147" s="9" t="s">
        <v>363</v>
      </c>
      <c r="C147" s="240">
        <f>'KV_9.1.sz.mell'!C142</f>
        <v>19897658</v>
      </c>
    </row>
    <row r="148" spans="1:3" ht="12" customHeight="1" thickBot="1">
      <c r="A148" s="13" t="s">
        <v>279</v>
      </c>
      <c r="B148" s="7" t="s">
        <v>455</v>
      </c>
      <c r="C148" s="242"/>
    </row>
    <row r="149" spans="1:3" ht="12" customHeight="1" thickBot="1">
      <c r="A149" s="538" t="s">
        <v>280</v>
      </c>
      <c r="B149" s="543" t="s">
        <v>381</v>
      </c>
      <c r="C149" s="544"/>
    </row>
    <row r="150" spans="1:3" ht="12" customHeight="1" thickBot="1">
      <c r="A150" s="20" t="s">
        <v>24</v>
      </c>
      <c r="B150" s="119" t="s">
        <v>456</v>
      </c>
      <c r="C150" s="281">
        <f>SUM(C151:C155)</f>
        <v>0</v>
      </c>
    </row>
    <row r="151" spans="1:3" ht="12" customHeight="1">
      <c r="A151" s="15" t="s">
        <v>96</v>
      </c>
      <c r="B151" s="9" t="s">
        <v>451</v>
      </c>
      <c r="C151" s="240"/>
    </row>
    <row r="152" spans="1:3" ht="12" customHeight="1">
      <c r="A152" s="15" t="s">
        <v>97</v>
      </c>
      <c r="B152" s="9" t="s">
        <v>458</v>
      </c>
      <c r="C152" s="240"/>
    </row>
    <row r="153" spans="1:3" ht="12" customHeight="1">
      <c r="A153" s="15" t="s">
        <v>291</v>
      </c>
      <c r="B153" s="9" t="s">
        <v>453</v>
      </c>
      <c r="C153" s="240"/>
    </row>
    <row r="154" spans="1:3" ht="12" customHeight="1">
      <c r="A154" s="15" t="s">
        <v>292</v>
      </c>
      <c r="B154" s="9" t="s">
        <v>509</v>
      </c>
      <c r="C154" s="240"/>
    </row>
    <row r="155" spans="1:3" ht="12" customHeight="1" thickBot="1">
      <c r="A155" s="15" t="s">
        <v>457</v>
      </c>
      <c r="B155" s="9" t="s">
        <v>460</v>
      </c>
      <c r="C155" s="240"/>
    </row>
    <row r="156" spans="1:3" ht="12" customHeight="1" thickBot="1">
      <c r="A156" s="20" t="s">
        <v>25</v>
      </c>
      <c r="B156" s="119" t="s">
        <v>461</v>
      </c>
      <c r="C156" s="459"/>
    </row>
    <row r="157" spans="1:3" ht="12" customHeight="1" thickBot="1">
      <c r="A157" s="20" t="s">
        <v>26</v>
      </c>
      <c r="B157" s="119" t="s">
        <v>462</v>
      </c>
      <c r="C157" s="459"/>
    </row>
    <row r="158" spans="1:9" ht="15" customHeight="1" thickBot="1">
      <c r="A158" s="20" t="s">
        <v>27</v>
      </c>
      <c r="B158" s="119" t="s">
        <v>464</v>
      </c>
      <c r="C158" s="545">
        <f>+C134+C138+C145+C150+C156+C157</f>
        <v>19897658</v>
      </c>
      <c r="F158" s="400"/>
      <c r="G158" s="401"/>
      <c r="H158" s="401"/>
      <c r="I158" s="401"/>
    </row>
    <row r="159" spans="1:3" s="388" customFormat="1" ht="17.25" customHeight="1" thickBot="1">
      <c r="A159" s="270" t="s">
        <v>28</v>
      </c>
      <c r="B159" s="546" t="s">
        <v>463</v>
      </c>
      <c r="C159" s="545">
        <f>+C133+C158</f>
        <v>2167553345</v>
      </c>
    </row>
    <row r="160" spans="1:3" ht="15.75" customHeight="1">
      <c r="A160" s="604"/>
      <c r="B160" s="604"/>
      <c r="C160" s="605">
        <f>C92-C159</f>
        <v>0</v>
      </c>
    </row>
    <row r="161" spans="1:3" ht="15.75">
      <c r="A161" s="741" t="s">
        <v>364</v>
      </c>
      <c r="B161" s="741"/>
      <c r="C161" s="741"/>
    </row>
    <row r="162" spans="1:3" ht="15" customHeight="1" thickBot="1">
      <c r="A162" s="742" t="s">
        <v>152</v>
      </c>
      <c r="B162" s="742"/>
      <c r="C162" s="550" t="str">
        <f>C95</f>
        <v>Forintban!</v>
      </c>
    </row>
    <row r="163" spans="1:4" ht="13.5" customHeight="1" thickBot="1">
      <c r="A163" s="20">
        <v>1</v>
      </c>
      <c r="B163" s="27" t="s">
        <v>465</v>
      </c>
      <c r="C163" s="272">
        <f>+C67-C133</f>
        <v>-351922498</v>
      </c>
      <c r="D163" s="402"/>
    </row>
    <row r="164" spans="1:3" ht="27.75" customHeight="1" thickBot="1">
      <c r="A164" s="20" t="s">
        <v>19</v>
      </c>
      <c r="B164" s="27" t="s">
        <v>471</v>
      </c>
      <c r="C164" s="272">
        <f>+C91-C158</f>
        <v>351922498</v>
      </c>
    </row>
  </sheetData>
  <sheetProtection/>
  <mergeCells count="7">
    <mergeCell ref="B1:C1"/>
    <mergeCell ref="A6:C6"/>
    <mergeCell ref="A7:B7"/>
    <mergeCell ref="A95:B95"/>
    <mergeCell ref="A161:C161"/>
    <mergeCell ref="A162:B162"/>
    <mergeCell ref="A94:C94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="120" zoomScaleNormal="120" workbookViewId="0" topLeftCell="A1">
      <selection activeCell="I18" sqref="I18"/>
    </sheetView>
  </sheetViews>
  <sheetFormatPr defaultColWidth="9.00390625" defaultRowHeight="12.75"/>
  <cols>
    <col min="1" max="1" width="6.875" style="175" customWidth="1"/>
    <col min="2" max="2" width="42.875" style="53" customWidth="1"/>
    <col min="3" max="8" width="12.875" style="53" customWidth="1"/>
    <col min="9" max="9" width="14.375" style="53" customWidth="1"/>
    <col min="10" max="10" width="4.375" style="53" customWidth="1"/>
    <col min="11" max="16384" width="9.375" style="53" customWidth="1"/>
  </cols>
  <sheetData>
    <row r="1" spans="1:10" ht="27.75" customHeight="1">
      <c r="A1" s="766" t="s">
        <v>4</v>
      </c>
      <c r="B1" s="766"/>
      <c r="C1" s="766"/>
      <c r="D1" s="766"/>
      <c r="E1" s="766"/>
      <c r="F1" s="766"/>
      <c r="G1" s="766"/>
      <c r="H1" s="766"/>
      <c r="I1" s="766"/>
      <c r="J1" s="804" t="str">
        <f>CONCATENATE("2. tájékoztató tábla ",ALAPADATOK!A7," ",ALAPADATOK!B7," ",ALAPADATOK!C7," ",ALAPADATOK!D7," ",ALAPADATOK!E7," ",ALAPADATOK!F7," ",ALAPADATOK!G7," ",ALAPADATOK!H7)</f>
        <v>2. tájékoztató tábla a … / 2021 ( … ) önkormányzati rendelethez</v>
      </c>
    </row>
    <row r="2" spans="9:10" ht="20.25" customHeight="1" thickBot="1">
      <c r="I2" s="448" t="str">
        <f>'KV_1.sz.tájékoztató_t.'!E5</f>
        <v>Forintban!</v>
      </c>
      <c r="J2" s="804"/>
    </row>
    <row r="3" spans="1:10" s="449" customFormat="1" ht="26.25" customHeight="1">
      <c r="A3" s="812" t="s">
        <v>69</v>
      </c>
      <c r="B3" s="807" t="s">
        <v>85</v>
      </c>
      <c r="C3" s="812" t="s">
        <v>86</v>
      </c>
      <c r="D3" s="812" t="str">
        <f>+CONCATENATE(LEFT(KV_ÖSSZEFÜGGÉSEK!A5,4)," előtti kifizetés")</f>
        <v>2021 előtti kifizetés</v>
      </c>
      <c r="E3" s="809" t="s">
        <v>68</v>
      </c>
      <c r="F3" s="810"/>
      <c r="G3" s="810"/>
      <c r="H3" s="811"/>
      <c r="I3" s="807" t="s">
        <v>51</v>
      </c>
      <c r="J3" s="804"/>
    </row>
    <row r="4" spans="1:10" s="450" customFormat="1" ht="32.25" customHeight="1" thickBot="1">
      <c r="A4" s="813"/>
      <c r="B4" s="808"/>
      <c r="C4" s="808"/>
      <c r="D4" s="813"/>
      <c r="E4" s="245" t="str">
        <f>+CONCATENATE(LEFT(KV_ÖSSZEFÜGGÉSEK!A5,4),".")</f>
        <v>2021.</v>
      </c>
      <c r="F4" s="245" t="str">
        <f>+CONCATENATE(LEFT(KV_ÖSSZEFÜGGÉSEK!A5,4)+1,".")</f>
        <v>2022.</v>
      </c>
      <c r="G4" s="245" t="str">
        <f>+CONCATENATE(LEFT(KV_ÖSSZEFÜGGÉSEK!A5,4)+2,".")</f>
        <v>2023.</v>
      </c>
      <c r="H4" s="246" t="str">
        <f>+CONCATENATE(LEFT(KV_ÖSSZEFÜGGÉSEK!A5,4)+2,".",CHAR(10)," után")</f>
        <v>2023.
 után</v>
      </c>
      <c r="I4" s="808"/>
      <c r="J4" s="804"/>
    </row>
    <row r="5" spans="1:10" s="451" customFormat="1" ht="12.75" customHeight="1" thickBot="1">
      <c r="A5" s="247" t="s">
        <v>484</v>
      </c>
      <c r="B5" s="248" t="s">
        <v>485</v>
      </c>
      <c r="C5" s="249" t="s">
        <v>486</v>
      </c>
      <c r="D5" s="248" t="s">
        <v>488</v>
      </c>
      <c r="E5" s="247" t="s">
        <v>487</v>
      </c>
      <c r="F5" s="249" t="s">
        <v>489</v>
      </c>
      <c r="G5" s="249" t="s">
        <v>490</v>
      </c>
      <c r="H5" s="250" t="s">
        <v>491</v>
      </c>
      <c r="I5" s="251" t="s">
        <v>492</v>
      </c>
      <c r="J5" s="804"/>
    </row>
    <row r="6" spans="1:10" ht="24.75" customHeight="1" thickBot="1">
      <c r="A6" s="252" t="s">
        <v>18</v>
      </c>
      <c r="B6" s="253" t="s">
        <v>5</v>
      </c>
      <c r="C6" s="497"/>
      <c r="D6" s="498">
        <f>+D7+D8</f>
        <v>0</v>
      </c>
      <c r="E6" s="499">
        <f>+E7+E8</f>
        <v>0</v>
      </c>
      <c r="F6" s="500">
        <f>+F7+F8</f>
        <v>0</v>
      </c>
      <c r="G6" s="500">
        <f>+G7+G8</f>
        <v>0</v>
      </c>
      <c r="H6" s="501">
        <f>+H7+H8</f>
        <v>0</v>
      </c>
      <c r="I6" s="68">
        <f aca="true" t="shared" si="0" ref="I6:I17">SUM(D6:H6)</f>
        <v>0</v>
      </c>
      <c r="J6" s="804"/>
    </row>
    <row r="7" spans="1:10" ht="19.5" customHeight="1">
      <c r="A7" s="254" t="s">
        <v>19</v>
      </c>
      <c r="B7" s="69" t="s">
        <v>70</v>
      </c>
      <c r="C7" s="502"/>
      <c r="D7" s="503"/>
      <c r="E7" s="504"/>
      <c r="F7" s="505"/>
      <c r="G7" s="505"/>
      <c r="H7" s="506"/>
      <c r="I7" s="255">
        <f t="shared" si="0"/>
        <v>0</v>
      </c>
      <c r="J7" s="804"/>
    </row>
    <row r="8" spans="1:10" ht="19.5" customHeight="1" thickBot="1">
      <c r="A8" s="254" t="s">
        <v>20</v>
      </c>
      <c r="B8" s="69" t="s">
        <v>70</v>
      </c>
      <c r="C8" s="502"/>
      <c r="D8" s="503"/>
      <c r="E8" s="504"/>
      <c r="F8" s="505"/>
      <c r="G8" s="505"/>
      <c r="H8" s="506"/>
      <c r="I8" s="255">
        <f t="shared" si="0"/>
        <v>0</v>
      </c>
      <c r="J8" s="804"/>
    </row>
    <row r="9" spans="1:10" ht="25.5" customHeight="1" thickBot="1">
      <c r="A9" s="252" t="s">
        <v>21</v>
      </c>
      <c r="B9" s="253" t="s">
        <v>6</v>
      </c>
      <c r="C9" s="497"/>
      <c r="D9" s="498">
        <f>+D10+D11</f>
        <v>0</v>
      </c>
      <c r="E9" s="499">
        <f>+E10+E11</f>
        <v>0</v>
      </c>
      <c r="F9" s="500">
        <f>+F10+F11</f>
        <v>0</v>
      </c>
      <c r="G9" s="500">
        <f>+G10+G11</f>
        <v>0</v>
      </c>
      <c r="H9" s="501">
        <f>+H10+H11</f>
        <v>0</v>
      </c>
      <c r="I9" s="68">
        <f t="shared" si="0"/>
        <v>0</v>
      </c>
      <c r="J9" s="804"/>
    </row>
    <row r="10" spans="1:10" ht="19.5" customHeight="1">
      <c r="A10" s="254" t="s">
        <v>22</v>
      </c>
      <c r="B10" s="69" t="s">
        <v>70</v>
      </c>
      <c r="C10" s="502"/>
      <c r="D10" s="503"/>
      <c r="E10" s="504"/>
      <c r="F10" s="505"/>
      <c r="G10" s="505"/>
      <c r="H10" s="506"/>
      <c r="I10" s="255">
        <f t="shared" si="0"/>
        <v>0</v>
      </c>
      <c r="J10" s="804"/>
    </row>
    <row r="11" spans="1:10" ht="19.5" customHeight="1" thickBot="1">
      <c r="A11" s="254" t="s">
        <v>23</v>
      </c>
      <c r="B11" s="69" t="s">
        <v>70</v>
      </c>
      <c r="C11" s="502"/>
      <c r="D11" s="503"/>
      <c r="E11" s="504"/>
      <c r="F11" s="505"/>
      <c r="G11" s="505"/>
      <c r="H11" s="506"/>
      <c r="I11" s="255">
        <f t="shared" si="0"/>
        <v>0</v>
      </c>
      <c r="J11" s="804"/>
    </row>
    <row r="12" spans="1:10" ht="19.5" customHeight="1" thickBot="1">
      <c r="A12" s="252" t="s">
        <v>24</v>
      </c>
      <c r="B12" s="253" t="s">
        <v>203</v>
      </c>
      <c r="C12" s="497"/>
      <c r="D12" s="498">
        <f>+D13</f>
        <v>0</v>
      </c>
      <c r="E12" s="499">
        <f>+E13</f>
        <v>0</v>
      </c>
      <c r="F12" s="500">
        <f>+F13</f>
        <v>0</v>
      </c>
      <c r="G12" s="500">
        <f>+G13</f>
        <v>0</v>
      </c>
      <c r="H12" s="501">
        <f>+H13</f>
        <v>0</v>
      </c>
      <c r="I12" s="68">
        <f t="shared" si="0"/>
        <v>0</v>
      </c>
      <c r="J12" s="804"/>
    </row>
    <row r="13" spans="1:10" ht="19.5" customHeight="1" thickBot="1">
      <c r="A13" s="254" t="s">
        <v>25</v>
      </c>
      <c r="B13" s="69" t="s">
        <v>70</v>
      </c>
      <c r="C13" s="502"/>
      <c r="D13" s="503"/>
      <c r="E13" s="504"/>
      <c r="F13" s="505"/>
      <c r="G13" s="505"/>
      <c r="H13" s="506"/>
      <c r="I13" s="255">
        <f t="shared" si="0"/>
        <v>0</v>
      </c>
      <c r="J13" s="804"/>
    </row>
    <row r="14" spans="1:10" ht="19.5" customHeight="1" thickBot="1">
      <c r="A14" s="252" t="s">
        <v>26</v>
      </c>
      <c r="B14" s="253" t="s">
        <v>204</v>
      </c>
      <c r="C14" s="497"/>
      <c r="D14" s="498">
        <f>+D15</f>
        <v>889000</v>
      </c>
      <c r="E14" s="499">
        <f>+E15</f>
        <v>19000000</v>
      </c>
      <c r="F14" s="500">
        <f>+F15</f>
        <v>0</v>
      </c>
      <c r="G14" s="500">
        <f>+G15</f>
        <v>0</v>
      </c>
      <c r="H14" s="501">
        <f>+H15</f>
        <v>0</v>
      </c>
      <c r="I14" s="68">
        <f t="shared" si="0"/>
        <v>19889000</v>
      </c>
      <c r="J14" s="804"/>
    </row>
    <row r="15" spans="1:10" ht="19.5" customHeight="1" thickBot="1">
      <c r="A15" s="256" t="s">
        <v>27</v>
      </c>
      <c r="B15" s="719" t="s">
        <v>687</v>
      </c>
      <c r="C15" s="714" t="s">
        <v>688</v>
      </c>
      <c r="D15" s="715">
        <v>889000</v>
      </c>
      <c r="E15" s="716">
        <v>19000000</v>
      </c>
      <c r="F15" s="717"/>
      <c r="G15" s="717"/>
      <c r="H15" s="718"/>
      <c r="I15" s="259">
        <v>19889000</v>
      </c>
      <c r="J15" s="804"/>
    </row>
    <row r="16" spans="1:10" ht="19.5" customHeight="1" thickBot="1">
      <c r="A16" s="252" t="s">
        <v>28</v>
      </c>
      <c r="B16" s="257" t="s">
        <v>205</v>
      </c>
      <c r="C16" s="497"/>
      <c r="D16" s="498">
        <f>+D17</f>
        <v>0</v>
      </c>
      <c r="E16" s="499">
        <f>+E17</f>
        <v>11152376</v>
      </c>
      <c r="F16" s="500">
        <f>+F17</f>
        <v>16728564</v>
      </c>
      <c r="G16" s="500">
        <f>+G17</f>
        <v>16728564</v>
      </c>
      <c r="H16" s="501">
        <f>+H17</f>
        <v>156133266</v>
      </c>
      <c r="I16" s="68">
        <f t="shared" si="0"/>
        <v>200742770</v>
      </c>
      <c r="J16" s="804"/>
    </row>
    <row r="17" spans="1:10" ht="19.5" customHeight="1" thickBot="1">
      <c r="A17" s="258" t="s">
        <v>29</v>
      </c>
      <c r="B17" s="70" t="s">
        <v>689</v>
      </c>
      <c r="C17" s="507" t="s">
        <v>690</v>
      </c>
      <c r="D17" s="508">
        <v>0</v>
      </c>
      <c r="E17" s="509">
        <v>11152376</v>
      </c>
      <c r="F17" s="510">
        <v>16728564</v>
      </c>
      <c r="G17" s="510">
        <v>16728564</v>
      </c>
      <c r="H17" s="511">
        <v>156133266</v>
      </c>
      <c r="I17" s="259">
        <f t="shared" si="0"/>
        <v>200742770</v>
      </c>
      <c r="J17" s="804"/>
    </row>
    <row r="18" spans="1:10" ht="19.5" customHeight="1" thickBot="1">
      <c r="A18" s="805" t="s">
        <v>144</v>
      </c>
      <c r="B18" s="806"/>
      <c r="C18" s="512"/>
      <c r="D18" s="498">
        <f aca="true" t="shared" si="1" ref="D18:I18">+D6+D9+D12+D14+D16</f>
        <v>889000</v>
      </c>
      <c r="E18" s="499">
        <f t="shared" si="1"/>
        <v>30152376</v>
      </c>
      <c r="F18" s="500">
        <f t="shared" si="1"/>
        <v>16728564</v>
      </c>
      <c r="G18" s="500">
        <f t="shared" si="1"/>
        <v>16728564</v>
      </c>
      <c r="H18" s="501">
        <f t="shared" si="1"/>
        <v>156133266</v>
      </c>
      <c r="I18" s="68">
        <f t="shared" si="1"/>
        <v>220631770</v>
      </c>
      <c r="J18" s="804"/>
    </row>
  </sheetData>
  <sheetProtection/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</sheetPr>
  <dimension ref="A1:D33"/>
  <sheetViews>
    <sheetView zoomScale="120" zoomScaleNormal="120" workbookViewId="0" topLeftCell="A7">
      <selection activeCell="J12" sqref="J12"/>
    </sheetView>
  </sheetViews>
  <sheetFormatPr defaultColWidth="9.00390625" defaultRowHeight="12.75"/>
  <cols>
    <col min="1" max="1" width="5.875" style="84" customWidth="1"/>
    <col min="2" max="2" width="54.875" style="3" customWidth="1"/>
    <col min="3" max="4" width="17.625" style="3" customWidth="1"/>
    <col min="5" max="16384" width="9.375" style="3" customWidth="1"/>
  </cols>
  <sheetData>
    <row r="1" ht="14.25" customHeight="1">
      <c r="D1" s="620" t="str">
        <f>CONCATENATE("3. tájékoztató tábla ",ALAPADATOK!A7," ",ALAPADATOK!B7," ",ALAPADATOK!C7," ",ALAPADATOK!D7," ",ALAPADATOK!E7," ",ALAPADATOK!F7," ",ALAPADATOK!G7," ",ALAPADATOK!H7)</f>
        <v>3. tájékoztató tábla a … / 2021 ( … ) önkormányzati rendelethez</v>
      </c>
    </row>
    <row r="3" spans="2:4" ht="31.5" customHeight="1">
      <c r="B3" s="815" t="s">
        <v>7</v>
      </c>
      <c r="C3" s="815"/>
      <c r="D3" s="815"/>
    </row>
    <row r="4" spans="1:4" s="72" customFormat="1" ht="16.5" thickBot="1">
      <c r="A4" s="71"/>
      <c r="B4" s="349"/>
      <c r="D4" s="42" t="str">
        <f>'KV_2.sz.tájékoztató_t.'!I2</f>
        <v>Forintban!</v>
      </c>
    </row>
    <row r="5" spans="1:4" s="74" customFormat="1" ht="48" customHeight="1" thickBot="1">
      <c r="A5" s="73" t="s">
        <v>16</v>
      </c>
      <c r="B5" s="181" t="s">
        <v>17</v>
      </c>
      <c r="C5" s="181" t="s">
        <v>71</v>
      </c>
      <c r="D5" s="182" t="s">
        <v>72</v>
      </c>
    </row>
    <row r="6" spans="1:4" s="74" customFormat="1" ht="13.5" customHeight="1" thickBot="1">
      <c r="A6" s="34" t="s">
        <v>484</v>
      </c>
      <c r="B6" s="184" t="s">
        <v>485</v>
      </c>
      <c r="C6" s="184" t="s">
        <v>486</v>
      </c>
      <c r="D6" s="185" t="s">
        <v>488</v>
      </c>
    </row>
    <row r="7" spans="1:4" ht="18" customHeight="1">
      <c r="A7" s="129" t="s">
        <v>18</v>
      </c>
      <c r="B7" s="186" t="s">
        <v>165</v>
      </c>
      <c r="C7" s="127">
        <v>26577947</v>
      </c>
      <c r="D7" s="75">
        <v>50000</v>
      </c>
    </row>
    <row r="8" spans="1:4" ht="18" customHeight="1">
      <c r="A8" s="76" t="s">
        <v>19</v>
      </c>
      <c r="B8" s="187" t="s">
        <v>166</v>
      </c>
      <c r="C8" s="128"/>
      <c r="D8" s="78"/>
    </row>
    <row r="9" spans="1:4" ht="18" customHeight="1">
      <c r="A9" s="76" t="s">
        <v>20</v>
      </c>
      <c r="B9" s="187" t="s">
        <v>120</v>
      </c>
      <c r="C9" s="128"/>
      <c r="D9" s="78"/>
    </row>
    <row r="10" spans="1:4" ht="18" customHeight="1">
      <c r="A10" s="76" t="s">
        <v>21</v>
      </c>
      <c r="B10" s="187" t="s">
        <v>121</v>
      </c>
      <c r="C10" s="128"/>
      <c r="D10" s="78"/>
    </row>
    <row r="11" spans="1:4" ht="18" customHeight="1">
      <c r="A11" s="76" t="s">
        <v>22</v>
      </c>
      <c r="B11" s="187" t="s">
        <v>158</v>
      </c>
      <c r="C11" s="128">
        <v>840000000</v>
      </c>
      <c r="D11" s="78">
        <v>2642359</v>
      </c>
    </row>
    <row r="12" spans="1:4" ht="18" customHeight="1">
      <c r="A12" s="76" t="s">
        <v>23</v>
      </c>
      <c r="B12" s="187" t="s">
        <v>159</v>
      </c>
      <c r="C12" s="128">
        <v>211000000</v>
      </c>
      <c r="D12" s="78">
        <v>1250000</v>
      </c>
    </row>
    <row r="13" spans="1:4" ht="18" customHeight="1">
      <c r="A13" s="76" t="s">
        <v>24</v>
      </c>
      <c r="B13" s="188" t="s">
        <v>160</v>
      </c>
      <c r="C13" s="128">
        <v>135000000</v>
      </c>
      <c r="D13" s="78">
        <v>1110000</v>
      </c>
    </row>
    <row r="14" spans="1:4" ht="18" customHeight="1">
      <c r="A14" s="76" t="s">
        <v>26</v>
      </c>
      <c r="B14" s="188" t="s">
        <v>161</v>
      </c>
      <c r="C14" s="128"/>
      <c r="D14" s="78"/>
    </row>
    <row r="15" spans="1:4" ht="18" customHeight="1">
      <c r="A15" s="76" t="s">
        <v>27</v>
      </c>
      <c r="B15" s="188" t="s">
        <v>162</v>
      </c>
      <c r="C15" s="128"/>
      <c r="D15" s="78"/>
    </row>
    <row r="16" spans="1:4" ht="18" customHeight="1">
      <c r="A16" s="76" t="s">
        <v>28</v>
      </c>
      <c r="B16" s="188" t="s">
        <v>163</v>
      </c>
      <c r="C16" s="128"/>
      <c r="D16" s="78"/>
    </row>
    <row r="17" spans="1:4" ht="22.5" customHeight="1">
      <c r="A17" s="76" t="s">
        <v>29</v>
      </c>
      <c r="B17" s="188" t="s">
        <v>164</v>
      </c>
      <c r="C17" s="128">
        <v>480000000</v>
      </c>
      <c r="D17" s="78">
        <v>282359</v>
      </c>
    </row>
    <row r="18" spans="1:4" ht="18" customHeight="1">
      <c r="A18" s="76" t="s">
        <v>30</v>
      </c>
      <c r="B18" s="187" t="s">
        <v>122</v>
      </c>
      <c r="C18" s="128"/>
      <c r="D18" s="78"/>
    </row>
    <row r="19" spans="1:4" ht="18" customHeight="1">
      <c r="A19" s="76" t="s">
        <v>31</v>
      </c>
      <c r="B19" s="187" t="s">
        <v>9</v>
      </c>
      <c r="C19" s="128">
        <v>22243200</v>
      </c>
      <c r="D19" s="78"/>
    </row>
    <row r="20" spans="1:4" ht="18" customHeight="1">
      <c r="A20" s="76" t="s">
        <v>32</v>
      </c>
      <c r="B20" s="187" t="s">
        <v>8</v>
      </c>
      <c r="C20" s="128"/>
      <c r="D20" s="78"/>
    </row>
    <row r="21" spans="1:4" ht="18" customHeight="1">
      <c r="A21" s="76" t="s">
        <v>33</v>
      </c>
      <c r="B21" s="187" t="s">
        <v>123</v>
      </c>
      <c r="C21" s="128">
        <v>30000</v>
      </c>
      <c r="D21" s="78"/>
    </row>
    <row r="22" spans="1:4" ht="18" customHeight="1">
      <c r="A22" s="76" t="s">
        <v>34</v>
      </c>
      <c r="B22" s="187" t="s">
        <v>124</v>
      </c>
      <c r="C22" s="128"/>
      <c r="D22" s="78"/>
    </row>
    <row r="23" spans="1:4" ht="18" customHeight="1">
      <c r="A23" s="76" t="s">
        <v>35</v>
      </c>
      <c r="B23" s="118"/>
      <c r="C23" s="77"/>
      <c r="D23" s="78"/>
    </row>
    <row r="24" spans="1:4" ht="18" customHeight="1">
      <c r="A24" s="76" t="s">
        <v>36</v>
      </c>
      <c r="B24" s="79"/>
      <c r="C24" s="77"/>
      <c r="D24" s="78"/>
    </row>
    <row r="25" spans="1:4" ht="18" customHeight="1">
      <c r="A25" s="76" t="s">
        <v>37</v>
      </c>
      <c r="B25" s="79"/>
      <c r="C25" s="77"/>
      <c r="D25" s="78"/>
    </row>
    <row r="26" spans="1:4" ht="18" customHeight="1">
      <c r="A26" s="76" t="s">
        <v>38</v>
      </c>
      <c r="B26" s="79"/>
      <c r="C26" s="77"/>
      <c r="D26" s="78"/>
    </row>
    <row r="27" spans="1:4" ht="18" customHeight="1">
      <c r="A27" s="76" t="s">
        <v>39</v>
      </c>
      <c r="B27" s="79"/>
      <c r="C27" s="77"/>
      <c r="D27" s="78"/>
    </row>
    <row r="28" spans="1:4" ht="18" customHeight="1">
      <c r="A28" s="76" t="s">
        <v>40</v>
      </c>
      <c r="B28" s="79"/>
      <c r="C28" s="77"/>
      <c r="D28" s="78"/>
    </row>
    <row r="29" spans="1:4" ht="18" customHeight="1">
      <c r="A29" s="76" t="s">
        <v>41</v>
      </c>
      <c r="B29" s="79"/>
      <c r="C29" s="77"/>
      <c r="D29" s="78"/>
    </row>
    <row r="30" spans="1:4" ht="18" customHeight="1">
      <c r="A30" s="76" t="s">
        <v>42</v>
      </c>
      <c r="B30" s="79"/>
      <c r="C30" s="77"/>
      <c r="D30" s="78"/>
    </row>
    <row r="31" spans="1:4" ht="18" customHeight="1" thickBot="1">
      <c r="A31" s="130" t="s">
        <v>43</v>
      </c>
      <c r="B31" s="80"/>
      <c r="C31" s="81"/>
      <c r="D31" s="82"/>
    </row>
    <row r="32" spans="1:4" ht="18" customHeight="1" thickBot="1">
      <c r="A32" s="35" t="s">
        <v>44</v>
      </c>
      <c r="B32" s="192" t="s">
        <v>53</v>
      </c>
      <c r="C32" s="193">
        <f>+C7+C8+C9+C10+C11+C18+C19+C20+C21+C22+C23+C24+C25+C26+C27+C28+C29+C30+C31</f>
        <v>888851147</v>
      </c>
      <c r="D32" s="194">
        <f>+D7+D8+D9+D10+D11+D18+D19+D20+D21+D22+D23+D24+D25+D26+D27+D28+D29+D30+D31</f>
        <v>2692359</v>
      </c>
    </row>
    <row r="33" spans="1:4" ht="8.25" customHeight="1">
      <c r="A33" s="83"/>
      <c r="B33" s="814"/>
      <c r="C33" s="814"/>
      <c r="D33" s="814"/>
    </row>
  </sheetData>
  <sheetProtection sheet="1"/>
  <mergeCells count="2">
    <mergeCell ref="B33:D33"/>
    <mergeCell ref="B3:D3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</sheetPr>
  <dimension ref="A1:Q82"/>
  <sheetViews>
    <sheetView zoomScale="120" zoomScaleNormal="120" workbookViewId="0" topLeftCell="A3">
      <selection activeCell="S29" sqref="S29"/>
    </sheetView>
  </sheetViews>
  <sheetFormatPr defaultColWidth="9.00390625" defaultRowHeight="12.75"/>
  <cols>
    <col min="1" max="1" width="4.875" style="94" customWidth="1"/>
    <col min="2" max="2" width="31.125" style="107" customWidth="1"/>
    <col min="3" max="4" width="9.00390625" style="107" customWidth="1"/>
    <col min="5" max="5" width="9.50390625" style="107" customWidth="1"/>
    <col min="6" max="6" width="8.875" style="107" customWidth="1"/>
    <col min="7" max="7" width="8.625" style="107" customWidth="1"/>
    <col min="8" max="8" width="8.875" style="107" customWidth="1"/>
    <col min="9" max="9" width="8.125" style="107" customWidth="1"/>
    <col min="10" max="14" width="9.50390625" style="107" customWidth="1"/>
    <col min="15" max="15" width="12.625" style="94" customWidth="1"/>
    <col min="16" max="16384" width="9.375" style="107" customWidth="1"/>
  </cols>
  <sheetData>
    <row r="1" spans="13:15" ht="15.75">
      <c r="M1" s="614"/>
      <c r="N1" s="558"/>
      <c r="O1" s="620" t="str">
        <f>CONCATENATE("4. tájékoztató tábla ",ALAPADATOK!A7," ",ALAPADATOK!B7," ",ALAPADATOK!C7," ",ALAPADATOK!D7," ",ALAPADATOK!E7," ",ALAPADATOK!F7," ",ALAPADATOK!G7," ",ALAPADATOK!H7)</f>
        <v>4. tájékoztató tábla a … / 2021 ( … ) önkormányzati rendelethez</v>
      </c>
    </row>
    <row r="2" spans="1:15" ht="31.5" customHeight="1">
      <c r="A2" s="819" t="str">
        <f>+CONCATENATE("Előirányzat-felhasználási terv",CHAR(10),LEFT(KV_ÖSSZEFÜGGÉSEK!A5,4),". évre")</f>
        <v>Előirányzat-felhasználási terv
2021. évre</v>
      </c>
      <c r="B2" s="820"/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820"/>
    </row>
    <row r="3" ht="16.5" thickBot="1">
      <c r="O3" s="4" t="str">
        <f>'KV_3.sz.tájékoztató_t.'!D4</f>
        <v>Forintban!</v>
      </c>
    </row>
    <row r="4" spans="1:15" s="94" customFormat="1" ht="25.5" customHeight="1" thickBot="1">
      <c r="A4" s="91" t="s">
        <v>16</v>
      </c>
      <c r="B4" s="92" t="s">
        <v>61</v>
      </c>
      <c r="C4" s="92" t="s">
        <v>73</v>
      </c>
      <c r="D4" s="92" t="s">
        <v>74</v>
      </c>
      <c r="E4" s="92" t="s">
        <v>75</v>
      </c>
      <c r="F4" s="92" t="s">
        <v>76</v>
      </c>
      <c r="G4" s="92" t="s">
        <v>77</v>
      </c>
      <c r="H4" s="92" t="s">
        <v>78</v>
      </c>
      <c r="I4" s="92" t="s">
        <v>79</v>
      </c>
      <c r="J4" s="92" t="s">
        <v>80</v>
      </c>
      <c r="K4" s="92" t="s">
        <v>81</v>
      </c>
      <c r="L4" s="92" t="s">
        <v>82</v>
      </c>
      <c r="M4" s="92" t="s">
        <v>83</v>
      </c>
      <c r="N4" s="92" t="s">
        <v>84</v>
      </c>
      <c r="O4" s="93" t="s">
        <v>53</v>
      </c>
    </row>
    <row r="5" spans="1:15" s="96" customFormat="1" ht="15" customHeight="1" thickBot="1">
      <c r="A5" s="95" t="s">
        <v>18</v>
      </c>
      <c r="B5" s="816" t="s">
        <v>56</v>
      </c>
      <c r="C5" s="817"/>
      <c r="D5" s="817"/>
      <c r="E5" s="817"/>
      <c r="F5" s="817"/>
      <c r="G5" s="817"/>
      <c r="H5" s="817"/>
      <c r="I5" s="817"/>
      <c r="J5" s="817"/>
      <c r="K5" s="817"/>
      <c r="L5" s="817"/>
      <c r="M5" s="817"/>
      <c r="N5" s="817"/>
      <c r="O5" s="818"/>
    </row>
    <row r="6" spans="1:17" s="96" customFormat="1" ht="22.5">
      <c r="A6" s="97" t="s">
        <v>19</v>
      </c>
      <c r="B6" s="452" t="s">
        <v>365</v>
      </c>
      <c r="C6" s="513">
        <v>41500000</v>
      </c>
      <c r="D6" s="513">
        <v>41500000</v>
      </c>
      <c r="E6" s="513">
        <v>41500000</v>
      </c>
      <c r="F6" s="513">
        <v>41500000</v>
      </c>
      <c r="G6" s="513">
        <v>41500000</v>
      </c>
      <c r="H6" s="513">
        <v>41500000</v>
      </c>
      <c r="I6" s="513">
        <v>41500000</v>
      </c>
      <c r="J6" s="513">
        <v>41500000</v>
      </c>
      <c r="K6" s="513">
        <v>41500000</v>
      </c>
      <c r="L6" s="513">
        <v>41500000</v>
      </c>
      <c r="M6" s="513">
        <v>41500000</v>
      </c>
      <c r="N6" s="513">
        <v>40941457</v>
      </c>
      <c r="O6" s="98">
        <f aca="true" t="shared" si="0" ref="O6:O26">SUM(C6:N6)</f>
        <v>497441457</v>
      </c>
      <c r="Q6" s="618"/>
    </row>
    <row r="7" spans="1:15" s="101" customFormat="1" ht="22.5">
      <c r="A7" s="99" t="s">
        <v>20</v>
      </c>
      <c r="B7" s="262" t="s">
        <v>410</v>
      </c>
      <c r="C7" s="514">
        <v>3650000</v>
      </c>
      <c r="D7" s="514">
        <v>3650000</v>
      </c>
      <c r="E7" s="514">
        <v>4069839</v>
      </c>
      <c r="F7" s="514">
        <v>3650000</v>
      </c>
      <c r="G7" s="514">
        <v>3650000</v>
      </c>
      <c r="H7" s="514">
        <v>3650000</v>
      </c>
      <c r="I7" s="514">
        <v>3650000</v>
      </c>
      <c r="J7" s="514">
        <v>3650000</v>
      </c>
      <c r="K7" s="514">
        <v>3650000</v>
      </c>
      <c r="L7" s="514">
        <v>3650000</v>
      </c>
      <c r="M7" s="514">
        <v>3650000</v>
      </c>
      <c r="N7" s="514">
        <v>3650000</v>
      </c>
      <c r="O7" s="100">
        <f t="shared" si="0"/>
        <v>44219839</v>
      </c>
    </row>
    <row r="8" spans="1:15" s="101" customFormat="1" ht="22.5">
      <c r="A8" s="99" t="s">
        <v>21</v>
      </c>
      <c r="B8" s="261" t="s">
        <v>411</v>
      </c>
      <c r="C8" s="515"/>
      <c r="D8" s="515"/>
      <c r="E8" s="515"/>
      <c r="F8" s="515">
        <v>63310137</v>
      </c>
      <c r="G8" s="515"/>
      <c r="H8" s="515"/>
      <c r="I8" s="515"/>
      <c r="J8" s="515"/>
      <c r="K8" s="515"/>
      <c r="L8" s="515"/>
      <c r="M8" s="515"/>
      <c r="N8" s="515"/>
      <c r="O8" s="102">
        <f t="shared" si="0"/>
        <v>63310137</v>
      </c>
    </row>
    <row r="9" spans="1:15" s="101" customFormat="1" ht="13.5" customHeight="1">
      <c r="A9" s="99" t="s">
        <v>22</v>
      </c>
      <c r="B9" s="260" t="s">
        <v>172</v>
      </c>
      <c r="C9" s="514">
        <v>10000000</v>
      </c>
      <c r="D9" s="514">
        <v>25000000</v>
      </c>
      <c r="E9" s="514">
        <v>250000000</v>
      </c>
      <c r="F9" s="514">
        <v>60000000</v>
      </c>
      <c r="G9" s="514">
        <v>20000000</v>
      </c>
      <c r="H9" s="514">
        <v>15000000</v>
      </c>
      <c r="I9" s="514">
        <v>10000000</v>
      </c>
      <c r="J9" s="514">
        <v>30000000</v>
      </c>
      <c r="K9" s="514">
        <v>250000000</v>
      </c>
      <c r="L9" s="514">
        <v>50000000</v>
      </c>
      <c r="M9" s="514">
        <v>20000000</v>
      </c>
      <c r="N9" s="514">
        <v>100000000</v>
      </c>
      <c r="O9" s="100">
        <f t="shared" si="0"/>
        <v>840000000</v>
      </c>
    </row>
    <row r="10" spans="1:15" s="101" customFormat="1" ht="13.5" customHeight="1">
      <c r="A10" s="99" t="s">
        <v>23</v>
      </c>
      <c r="B10" s="260" t="s">
        <v>412</v>
      </c>
      <c r="C10" s="514">
        <v>6000000</v>
      </c>
      <c r="D10" s="514">
        <v>6000000</v>
      </c>
      <c r="E10" s="514">
        <v>6000000</v>
      </c>
      <c r="F10" s="514">
        <v>6000000</v>
      </c>
      <c r="G10" s="514">
        <v>10000000</v>
      </c>
      <c r="H10" s="514">
        <v>6000000</v>
      </c>
      <c r="I10" s="514">
        <v>6000000</v>
      </c>
      <c r="J10" s="514">
        <v>6000000</v>
      </c>
      <c r="K10" s="514">
        <v>6000000</v>
      </c>
      <c r="L10" s="514">
        <v>8526256</v>
      </c>
      <c r="M10" s="514">
        <v>6000000</v>
      </c>
      <c r="N10" s="514">
        <v>6000000</v>
      </c>
      <c r="O10" s="100">
        <f t="shared" si="0"/>
        <v>78526256</v>
      </c>
    </row>
    <row r="11" spans="1:15" s="101" customFormat="1" ht="13.5" customHeight="1">
      <c r="A11" s="99" t="s">
        <v>24</v>
      </c>
      <c r="B11" s="260" t="s">
        <v>10</v>
      </c>
      <c r="C11" s="514"/>
      <c r="D11" s="514"/>
      <c r="E11" s="514"/>
      <c r="F11" s="514"/>
      <c r="G11" s="514">
        <v>100000000</v>
      </c>
      <c r="H11" s="514"/>
      <c r="I11" s="514"/>
      <c r="J11" s="514"/>
      <c r="K11" s="514"/>
      <c r="L11" s="514">
        <v>100000000</v>
      </c>
      <c r="M11" s="514">
        <v>60000000</v>
      </c>
      <c r="N11" s="514"/>
      <c r="O11" s="100">
        <f t="shared" si="0"/>
        <v>260000000</v>
      </c>
    </row>
    <row r="12" spans="1:15" s="101" customFormat="1" ht="13.5" customHeight="1">
      <c r="A12" s="99" t="s">
        <v>25</v>
      </c>
      <c r="B12" s="260" t="s">
        <v>367</v>
      </c>
      <c r="C12" s="514">
        <v>1000000</v>
      </c>
      <c r="D12" s="514">
        <v>1000000</v>
      </c>
      <c r="E12" s="514">
        <v>1000000</v>
      </c>
      <c r="F12" s="514">
        <v>1000000</v>
      </c>
      <c r="G12" s="514">
        <v>1000000</v>
      </c>
      <c r="H12" s="514">
        <v>1000000</v>
      </c>
      <c r="I12" s="514">
        <v>1000000</v>
      </c>
      <c r="J12" s="514">
        <v>1000000</v>
      </c>
      <c r="K12" s="514">
        <v>1000000</v>
      </c>
      <c r="L12" s="514">
        <v>1000000</v>
      </c>
      <c r="M12" s="514">
        <v>1000000</v>
      </c>
      <c r="N12" s="514">
        <v>1000000</v>
      </c>
      <c r="O12" s="100">
        <f t="shared" si="0"/>
        <v>12000000</v>
      </c>
    </row>
    <row r="13" spans="1:15" s="101" customFormat="1" ht="22.5">
      <c r="A13" s="99" t="s">
        <v>26</v>
      </c>
      <c r="B13" s="262" t="s">
        <v>398</v>
      </c>
      <c r="C13" s="514"/>
      <c r="D13" s="514"/>
      <c r="E13" s="514"/>
      <c r="F13" s="514"/>
      <c r="G13" s="514"/>
      <c r="H13" s="514">
        <v>235500</v>
      </c>
      <c r="I13" s="514"/>
      <c r="J13" s="514"/>
      <c r="K13" s="514"/>
      <c r="L13" s="514"/>
      <c r="M13" s="514"/>
      <c r="N13" s="514"/>
      <c r="O13" s="100">
        <f t="shared" si="0"/>
        <v>235500</v>
      </c>
    </row>
    <row r="14" spans="1:15" s="101" customFormat="1" ht="13.5" customHeight="1" thickBot="1">
      <c r="A14" s="99" t="s">
        <v>27</v>
      </c>
      <c r="B14" s="260" t="s">
        <v>11</v>
      </c>
      <c r="C14" s="514">
        <v>371820156</v>
      </c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100">
        <f t="shared" si="0"/>
        <v>371820156</v>
      </c>
    </row>
    <row r="15" spans="1:15" s="96" customFormat="1" ht="15.75" customHeight="1" thickBot="1">
      <c r="A15" s="95" t="s">
        <v>28</v>
      </c>
      <c r="B15" s="36" t="s">
        <v>109</v>
      </c>
      <c r="C15" s="516">
        <f aca="true" t="shared" si="1" ref="C15:N15">SUM(C6:C14)</f>
        <v>433970156</v>
      </c>
      <c r="D15" s="516">
        <f t="shared" si="1"/>
        <v>77150000</v>
      </c>
      <c r="E15" s="516">
        <f t="shared" si="1"/>
        <v>302569839</v>
      </c>
      <c r="F15" s="516">
        <f t="shared" si="1"/>
        <v>175460137</v>
      </c>
      <c r="G15" s="516">
        <f t="shared" si="1"/>
        <v>176150000</v>
      </c>
      <c r="H15" s="516">
        <f t="shared" si="1"/>
        <v>67385500</v>
      </c>
      <c r="I15" s="516">
        <f t="shared" si="1"/>
        <v>62150000</v>
      </c>
      <c r="J15" s="516">
        <f t="shared" si="1"/>
        <v>82150000</v>
      </c>
      <c r="K15" s="516">
        <f t="shared" si="1"/>
        <v>302150000</v>
      </c>
      <c r="L15" s="516">
        <f t="shared" si="1"/>
        <v>204676256</v>
      </c>
      <c r="M15" s="516">
        <f t="shared" si="1"/>
        <v>132150000</v>
      </c>
      <c r="N15" s="516">
        <f t="shared" si="1"/>
        <v>151591457</v>
      </c>
      <c r="O15" s="103">
        <f>SUM(C15:N15)</f>
        <v>2167553345</v>
      </c>
    </row>
    <row r="16" spans="1:15" s="96" customFormat="1" ht="15" customHeight="1" thickBot="1">
      <c r="A16" s="95" t="s">
        <v>29</v>
      </c>
      <c r="B16" s="816" t="s">
        <v>57</v>
      </c>
      <c r="C16" s="817"/>
      <c r="D16" s="817"/>
      <c r="E16" s="817"/>
      <c r="F16" s="817"/>
      <c r="G16" s="817"/>
      <c r="H16" s="817"/>
      <c r="I16" s="817"/>
      <c r="J16" s="817"/>
      <c r="K16" s="817"/>
      <c r="L16" s="817"/>
      <c r="M16" s="817"/>
      <c r="N16" s="817"/>
      <c r="O16" s="818"/>
    </row>
    <row r="17" spans="1:15" s="101" customFormat="1" ht="13.5" customHeight="1">
      <c r="A17" s="104" t="s">
        <v>30</v>
      </c>
      <c r="B17" s="263" t="s">
        <v>62</v>
      </c>
      <c r="C17" s="515">
        <v>53000000</v>
      </c>
      <c r="D17" s="515">
        <v>53000000</v>
      </c>
      <c r="E17" s="515">
        <v>53000000</v>
      </c>
      <c r="F17" s="515">
        <v>53000000</v>
      </c>
      <c r="G17" s="515">
        <v>53000000</v>
      </c>
      <c r="H17" s="515">
        <v>53000000</v>
      </c>
      <c r="I17" s="515">
        <v>100000000</v>
      </c>
      <c r="J17" s="515">
        <v>53000000</v>
      </c>
      <c r="K17" s="515">
        <v>53000000</v>
      </c>
      <c r="L17" s="515">
        <v>53000000</v>
      </c>
      <c r="M17" s="515">
        <v>53000000</v>
      </c>
      <c r="N17" s="515">
        <v>89820251</v>
      </c>
      <c r="O17" s="102">
        <f t="shared" si="0"/>
        <v>719820251</v>
      </c>
    </row>
    <row r="18" spans="1:15" s="101" customFormat="1" ht="27" customHeight="1">
      <c r="A18" s="99" t="s">
        <v>31</v>
      </c>
      <c r="B18" s="262" t="s">
        <v>181</v>
      </c>
      <c r="C18" s="514">
        <v>7950000</v>
      </c>
      <c r="D18" s="514">
        <v>7950000</v>
      </c>
      <c r="E18" s="514">
        <v>7950000</v>
      </c>
      <c r="F18" s="514">
        <v>7950000</v>
      </c>
      <c r="G18" s="514">
        <v>7950000</v>
      </c>
      <c r="H18" s="514">
        <v>7950000</v>
      </c>
      <c r="I18" s="514">
        <v>18500000</v>
      </c>
      <c r="J18" s="514">
        <v>7950000</v>
      </c>
      <c r="K18" s="514">
        <v>7950000</v>
      </c>
      <c r="L18" s="514">
        <v>7950000</v>
      </c>
      <c r="M18" s="514">
        <v>7950000</v>
      </c>
      <c r="N18" s="514">
        <v>16113646</v>
      </c>
      <c r="O18" s="100">
        <f t="shared" si="0"/>
        <v>114113646</v>
      </c>
    </row>
    <row r="19" spans="1:15" s="101" customFormat="1" ht="13.5" customHeight="1">
      <c r="A19" s="99" t="s">
        <v>32</v>
      </c>
      <c r="B19" s="260" t="s">
        <v>138</v>
      </c>
      <c r="C19" s="514">
        <v>35000000</v>
      </c>
      <c r="D19" s="514">
        <v>35000000</v>
      </c>
      <c r="E19" s="514">
        <v>35000000</v>
      </c>
      <c r="F19" s="514">
        <v>35000000</v>
      </c>
      <c r="G19" s="514">
        <v>35000000</v>
      </c>
      <c r="H19" s="514">
        <v>35000000</v>
      </c>
      <c r="I19" s="514">
        <v>35000000</v>
      </c>
      <c r="J19" s="514">
        <v>35000000</v>
      </c>
      <c r="K19" s="514">
        <v>35000000</v>
      </c>
      <c r="L19" s="514">
        <v>35000000</v>
      </c>
      <c r="M19" s="514">
        <v>35000000</v>
      </c>
      <c r="N19" s="514">
        <v>43497989</v>
      </c>
      <c r="O19" s="100">
        <f t="shared" si="0"/>
        <v>428497989</v>
      </c>
    </row>
    <row r="20" spans="1:15" s="101" customFormat="1" ht="13.5" customHeight="1">
      <c r="A20" s="99" t="s">
        <v>33</v>
      </c>
      <c r="B20" s="260" t="s">
        <v>182</v>
      </c>
      <c r="C20" s="514">
        <v>1000000</v>
      </c>
      <c r="D20" s="514">
        <v>1000000</v>
      </c>
      <c r="E20" s="514">
        <v>1000000</v>
      </c>
      <c r="F20" s="514">
        <v>1000000</v>
      </c>
      <c r="G20" s="514">
        <v>1000000</v>
      </c>
      <c r="H20" s="514">
        <v>1000000</v>
      </c>
      <c r="I20" s="514">
        <v>1000000</v>
      </c>
      <c r="J20" s="514">
        <v>1000000</v>
      </c>
      <c r="K20" s="514">
        <v>1000000</v>
      </c>
      <c r="L20" s="514">
        <v>1000000</v>
      </c>
      <c r="M20" s="514">
        <v>1000000</v>
      </c>
      <c r="N20" s="514">
        <v>12800000</v>
      </c>
      <c r="O20" s="100">
        <f t="shared" si="0"/>
        <v>23800000</v>
      </c>
    </row>
    <row r="21" spans="1:15" s="101" customFormat="1" ht="13.5" customHeight="1">
      <c r="A21" s="99" t="s">
        <v>34</v>
      </c>
      <c r="B21" s="260" t="s">
        <v>12</v>
      </c>
      <c r="C21" s="514">
        <v>20000000</v>
      </c>
      <c r="D21" s="514">
        <v>20000000</v>
      </c>
      <c r="E21" s="514">
        <v>30000000</v>
      </c>
      <c r="F21" s="514">
        <v>40000000</v>
      </c>
      <c r="G21" s="514">
        <v>30000000</v>
      </c>
      <c r="H21" s="514">
        <v>50000000</v>
      </c>
      <c r="I21" s="514">
        <v>20000000</v>
      </c>
      <c r="J21" s="514">
        <v>20000000</v>
      </c>
      <c r="K21" s="514">
        <v>45000000</v>
      </c>
      <c r="L21" s="514">
        <v>30000000</v>
      </c>
      <c r="M21" s="514">
        <v>20000000</v>
      </c>
      <c r="N21" s="514">
        <v>20664475</v>
      </c>
      <c r="O21" s="100">
        <f t="shared" si="0"/>
        <v>345664475</v>
      </c>
    </row>
    <row r="22" spans="1:15" s="101" customFormat="1" ht="13.5" customHeight="1">
      <c r="A22" s="99" t="s">
        <v>35</v>
      </c>
      <c r="B22" s="260" t="s">
        <v>223</v>
      </c>
      <c r="C22" s="514"/>
      <c r="D22" s="514"/>
      <c r="E22" s="514">
        <v>40000000</v>
      </c>
      <c r="F22" s="514">
        <v>30000000</v>
      </c>
      <c r="G22" s="514"/>
      <c r="H22" s="514"/>
      <c r="I22" s="514">
        <v>17500000</v>
      </c>
      <c r="J22" s="514">
        <v>30000000</v>
      </c>
      <c r="K22" s="514">
        <v>100000000</v>
      </c>
      <c r="L22" s="514">
        <v>30001854</v>
      </c>
      <c r="M22" s="514">
        <v>70000000</v>
      </c>
      <c r="N22" s="514">
        <v>31418086</v>
      </c>
      <c r="O22" s="100">
        <f t="shared" si="0"/>
        <v>348919940</v>
      </c>
    </row>
    <row r="23" spans="1:15" s="101" customFormat="1" ht="15.75">
      <c r="A23" s="99" t="s">
        <v>36</v>
      </c>
      <c r="B23" s="262" t="s">
        <v>185</v>
      </c>
      <c r="C23" s="514"/>
      <c r="D23" s="514"/>
      <c r="E23" s="514"/>
      <c r="F23" s="514">
        <v>20000000</v>
      </c>
      <c r="G23" s="514"/>
      <c r="H23" s="514"/>
      <c r="I23" s="514">
        <v>30000000</v>
      </c>
      <c r="J23" s="514">
        <v>30000000</v>
      </c>
      <c r="K23" s="514"/>
      <c r="L23" s="514"/>
      <c r="M23" s="514">
        <v>16839386</v>
      </c>
      <c r="N23" s="514">
        <v>70000000</v>
      </c>
      <c r="O23" s="100">
        <f t="shared" si="0"/>
        <v>166839386</v>
      </c>
    </row>
    <row r="24" spans="1:15" s="101" customFormat="1" ht="13.5" customHeight="1">
      <c r="A24" s="99" t="s">
        <v>37</v>
      </c>
      <c r="B24" s="260" t="s">
        <v>225</v>
      </c>
      <c r="C24" s="514"/>
      <c r="D24" s="514"/>
      <c r="E24" s="514"/>
      <c r="F24" s="514"/>
      <c r="G24" s="514"/>
      <c r="H24" s="514"/>
      <c r="I24" s="514"/>
      <c r="J24" s="514"/>
      <c r="K24" s="514"/>
      <c r="L24" s="514"/>
      <c r="M24" s="514"/>
      <c r="N24" s="514"/>
      <c r="O24" s="100">
        <f t="shared" si="0"/>
        <v>0</v>
      </c>
    </row>
    <row r="25" spans="1:15" s="101" customFormat="1" ht="13.5" customHeight="1" thickBot="1">
      <c r="A25" s="99" t="s">
        <v>38</v>
      </c>
      <c r="B25" s="260" t="s">
        <v>13</v>
      </c>
      <c r="C25" s="514">
        <v>19897658</v>
      </c>
      <c r="D25" s="514"/>
      <c r="E25" s="514"/>
      <c r="F25" s="514"/>
      <c r="G25" s="514"/>
      <c r="H25" s="514"/>
      <c r="I25" s="514"/>
      <c r="J25" s="514"/>
      <c r="K25" s="514"/>
      <c r="L25" s="514"/>
      <c r="M25" s="514"/>
      <c r="N25" s="514"/>
      <c r="O25" s="100">
        <f t="shared" si="0"/>
        <v>19897658</v>
      </c>
    </row>
    <row r="26" spans="1:15" s="96" customFormat="1" ht="15.75" customHeight="1" thickBot="1">
      <c r="A26" s="105" t="s">
        <v>39</v>
      </c>
      <c r="B26" s="36" t="s">
        <v>110</v>
      </c>
      <c r="C26" s="516">
        <f aca="true" t="shared" si="2" ref="C26:N26">SUM(C17:C25)</f>
        <v>136847658</v>
      </c>
      <c r="D26" s="516">
        <f t="shared" si="2"/>
        <v>116950000</v>
      </c>
      <c r="E26" s="516">
        <f t="shared" si="2"/>
        <v>166950000</v>
      </c>
      <c r="F26" s="516">
        <f t="shared" si="2"/>
        <v>186950000</v>
      </c>
      <c r="G26" s="516">
        <f t="shared" si="2"/>
        <v>126950000</v>
      </c>
      <c r="H26" s="516">
        <f t="shared" si="2"/>
        <v>146950000</v>
      </c>
      <c r="I26" s="516">
        <f t="shared" si="2"/>
        <v>222000000</v>
      </c>
      <c r="J26" s="516">
        <f t="shared" si="2"/>
        <v>176950000</v>
      </c>
      <c r="K26" s="516">
        <f t="shared" si="2"/>
        <v>241950000</v>
      </c>
      <c r="L26" s="516">
        <f t="shared" si="2"/>
        <v>156951854</v>
      </c>
      <c r="M26" s="516">
        <f t="shared" si="2"/>
        <v>203789386</v>
      </c>
      <c r="N26" s="516">
        <f t="shared" si="2"/>
        <v>284314447</v>
      </c>
      <c r="O26" s="103">
        <f t="shared" si="0"/>
        <v>2167553345</v>
      </c>
    </row>
    <row r="27" spans="1:15" ht="16.5" thickBot="1">
      <c r="A27" s="105" t="s">
        <v>40</v>
      </c>
      <c r="B27" s="264" t="s">
        <v>111</v>
      </c>
      <c r="C27" s="517">
        <f>C15-C26</f>
        <v>297122498</v>
      </c>
      <c r="D27" s="517">
        <f>C27+D15-D26</f>
        <v>257322498</v>
      </c>
      <c r="E27" s="517">
        <f aca="true" t="shared" si="3" ref="E27:N27">D27+E15-E26</f>
        <v>392942337</v>
      </c>
      <c r="F27" s="517">
        <f t="shared" si="3"/>
        <v>381452474</v>
      </c>
      <c r="G27" s="517">
        <f t="shared" si="3"/>
        <v>430652474</v>
      </c>
      <c r="H27" s="517">
        <f t="shared" si="3"/>
        <v>351087974</v>
      </c>
      <c r="I27" s="517">
        <f t="shared" si="3"/>
        <v>191237974</v>
      </c>
      <c r="J27" s="517">
        <f t="shared" si="3"/>
        <v>96437974</v>
      </c>
      <c r="K27" s="517">
        <f t="shared" si="3"/>
        <v>156637974</v>
      </c>
      <c r="L27" s="517">
        <f t="shared" si="3"/>
        <v>204362376</v>
      </c>
      <c r="M27" s="517">
        <f t="shared" si="3"/>
        <v>132722990</v>
      </c>
      <c r="N27" s="517">
        <f t="shared" si="3"/>
        <v>0</v>
      </c>
      <c r="O27" s="106">
        <f>O15-O26</f>
        <v>0</v>
      </c>
    </row>
    <row r="28" ht="15.75">
      <c r="A28" s="108"/>
    </row>
    <row r="29" spans="2:15" ht="15.75">
      <c r="B29" s="109"/>
      <c r="C29" s="110"/>
      <c r="D29" s="110"/>
      <c r="O29" s="107"/>
    </row>
    <row r="30" ht="15.75">
      <c r="O30" s="107"/>
    </row>
    <row r="31" ht="15.75">
      <c r="O31" s="107"/>
    </row>
    <row r="32" ht="15.75">
      <c r="O32" s="107"/>
    </row>
    <row r="33" ht="15.75">
      <c r="O33" s="107"/>
    </row>
    <row r="34" ht="15.75">
      <c r="O34" s="107"/>
    </row>
    <row r="35" ht="15.75">
      <c r="O35" s="107"/>
    </row>
    <row r="36" ht="15.75">
      <c r="O36" s="107"/>
    </row>
    <row r="37" ht="15.75">
      <c r="O37" s="107"/>
    </row>
    <row r="38" ht="15.75">
      <c r="O38" s="107"/>
    </row>
    <row r="39" ht="15.75">
      <c r="O39" s="107"/>
    </row>
    <row r="40" ht="15.75">
      <c r="O40" s="107"/>
    </row>
    <row r="41" ht="15.75">
      <c r="O41" s="107"/>
    </row>
    <row r="42" ht="15.75">
      <c r="O42" s="107"/>
    </row>
    <row r="43" ht="15.75">
      <c r="O43" s="107"/>
    </row>
    <row r="44" ht="15.75">
      <c r="O44" s="107"/>
    </row>
    <row r="45" ht="15.75">
      <c r="O45" s="107"/>
    </row>
    <row r="46" ht="15.75">
      <c r="O46" s="107"/>
    </row>
    <row r="47" ht="15.75">
      <c r="O47" s="107"/>
    </row>
    <row r="48" ht="15.75">
      <c r="O48" s="107"/>
    </row>
    <row r="49" ht="15.75">
      <c r="O49" s="107"/>
    </row>
    <row r="50" ht="15.75">
      <c r="O50" s="107"/>
    </row>
    <row r="51" ht="15.75">
      <c r="O51" s="107"/>
    </row>
    <row r="52" ht="15.75">
      <c r="O52" s="107"/>
    </row>
    <row r="53" ht="15.75">
      <c r="O53" s="107"/>
    </row>
    <row r="54" ht="15.75">
      <c r="O54" s="107"/>
    </row>
    <row r="55" ht="15.75">
      <c r="O55" s="107"/>
    </row>
    <row r="56" ht="15.75">
      <c r="O56" s="107"/>
    </row>
    <row r="57" ht="15.75">
      <c r="O57" s="107"/>
    </row>
    <row r="58" ht="15.75">
      <c r="O58" s="107"/>
    </row>
    <row r="59" ht="15.75">
      <c r="O59" s="107"/>
    </row>
    <row r="60" ht="15.75">
      <c r="O60" s="107"/>
    </row>
    <row r="61" ht="15.75">
      <c r="O61" s="107"/>
    </row>
    <row r="62" ht="15.75">
      <c r="O62" s="107"/>
    </row>
    <row r="63" ht="15.75">
      <c r="O63" s="107"/>
    </row>
    <row r="64" ht="15.75">
      <c r="O64" s="107"/>
    </row>
    <row r="65" ht="15.75">
      <c r="O65" s="107"/>
    </row>
    <row r="66" ht="15.75">
      <c r="O66" s="107"/>
    </row>
    <row r="67" ht="15.75">
      <c r="O67" s="107"/>
    </row>
    <row r="68" ht="15.75">
      <c r="O68" s="107"/>
    </row>
    <row r="69" ht="15.75">
      <c r="O69" s="107"/>
    </row>
    <row r="70" ht="15.75">
      <c r="O70" s="107"/>
    </row>
    <row r="71" ht="15.75">
      <c r="O71" s="107"/>
    </row>
    <row r="72" ht="15.75">
      <c r="O72" s="107"/>
    </row>
    <row r="73" ht="15.75">
      <c r="O73" s="107"/>
    </row>
    <row r="74" ht="15.75">
      <c r="O74" s="107"/>
    </row>
    <row r="75" ht="15.75">
      <c r="O75" s="107"/>
    </row>
    <row r="76" ht="15.75">
      <c r="O76" s="107"/>
    </row>
    <row r="77" ht="15.75">
      <c r="O77" s="107"/>
    </row>
    <row r="78" ht="15.75">
      <c r="O78" s="107"/>
    </row>
    <row r="79" ht="15.75">
      <c r="O79" s="107"/>
    </row>
    <row r="80" ht="15.75">
      <c r="O80" s="107"/>
    </row>
    <row r="81" ht="15.75">
      <c r="O81" s="107"/>
    </row>
    <row r="82" ht="15.75">
      <c r="O82" s="107"/>
    </row>
  </sheetData>
  <sheetProtection/>
  <mergeCells count="3">
    <mergeCell ref="B5:O5"/>
    <mergeCell ref="B16:O16"/>
    <mergeCell ref="A2:O2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26"/>
  <sheetViews>
    <sheetView zoomScale="120" zoomScaleNormal="120" zoomScalePageLayoutView="120" workbookViewId="0" topLeftCell="A1">
      <selection activeCell="C12" sqref="C12"/>
    </sheetView>
  </sheetViews>
  <sheetFormatPr defaultColWidth="9.00390625" defaultRowHeight="12.75"/>
  <cols>
    <col min="1" max="1" width="17.50390625" style="45" customWidth="1"/>
    <col min="2" max="2" width="83.875" style="45" customWidth="1"/>
    <col min="3" max="3" width="16.875" style="45" customWidth="1"/>
    <col min="4" max="4" width="4.875" style="642" customWidth="1"/>
    <col min="5" max="16384" width="9.375" style="45" customWidth="1"/>
  </cols>
  <sheetData>
    <row r="1" spans="2:4" ht="47.25" customHeight="1">
      <c r="B1" s="821" t="str">
        <f>+CONCATENATE("A ",LEFT(KV_ÖSSZEFÜGGÉSEK!A5,4),". évi általános működés és ágazati feladatok támogatásának alakulása jogcímenként")</f>
        <v>A 2021. évi általános működés és ágazati feladatok támogatásának alakulása jogcímenként</v>
      </c>
      <c r="C1" s="821"/>
      <c r="D1" s="822" t="str">
        <f>CONCATENATE("5. tájékoztató tábla ",ALAPADATOK!A7," ",ALAPADATOK!B7," ",ALAPADATOK!C7," ",ALAPADATOK!D7," ",ALAPADATOK!E7," ",ALAPADATOK!F7," ",ALAPADATOK!G7," ",ALAPADATOK!H7)</f>
        <v>5. tájékoztató tábla a … / 2021 ( … ) önkormányzati rendelethez</v>
      </c>
    </row>
    <row r="2" spans="2:4" ht="22.5" customHeight="1" thickBot="1">
      <c r="B2" s="351"/>
      <c r="C2" s="639" t="s">
        <v>638</v>
      </c>
      <c r="D2" s="822"/>
    </row>
    <row r="3" spans="1:8" s="46" customFormat="1" ht="62.25" customHeight="1" thickBot="1">
      <c r="A3" s="640" t="s">
        <v>657</v>
      </c>
      <c r="B3" s="266" t="s">
        <v>52</v>
      </c>
      <c r="C3" s="624" t="str">
        <f>+CONCATENATE(LEFT(KV_ÖSSZEFÜGGÉSEK!A5,4),". évi tervezett támogatás összesen")</f>
        <v>2021. évi tervezett támogatás összesen</v>
      </c>
      <c r="D3" s="822"/>
      <c r="H3" s="620"/>
    </row>
    <row r="4" spans="1:4" s="47" customFormat="1" ht="13.5" thickBot="1">
      <c r="A4" s="641" t="s">
        <v>484</v>
      </c>
      <c r="B4" s="173" t="s">
        <v>485</v>
      </c>
      <c r="C4" s="174" t="s">
        <v>486</v>
      </c>
      <c r="D4" s="822"/>
    </row>
    <row r="5" spans="1:4" ht="12.75">
      <c r="A5" s="720" t="s">
        <v>691</v>
      </c>
      <c r="B5" s="111" t="s">
        <v>692</v>
      </c>
      <c r="C5" s="380">
        <v>223720930</v>
      </c>
      <c r="D5" s="822"/>
    </row>
    <row r="6" spans="1:4" ht="12.75" customHeight="1">
      <c r="A6" s="721" t="s">
        <v>693</v>
      </c>
      <c r="B6" s="112" t="s">
        <v>694</v>
      </c>
      <c r="C6" s="380">
        <v>144810450</v>
      </c>
      <c r="D6" s="822"/>
    </row>
    <row r="7" spans="1:4" ht="22.5">
      <c r="A7" s="721" t="s">
        <v>695</v>
      </c>
      <c r="B7" s="112" t="s">
        <v>696</v>
      </c>
      <c r="C7" s="380">
        <v>9430000</v>
      </c>
      <c r="D7" s="822"/>
    </row>
    <row r="8" spans="1:4" ht="22.5">
      <c r="A8" s="721" t="s">
        <v>698</v>
      </c>
      <c r="B8" s="112" t="s">
        <v>697</v>
      </c>
      <c r="C8" s="380">
        <v>5930480</v>
      </c>
      <c r="D8" s="822"/>
    </row>
    <row r="9" spans="1:4" ht="12.75">
      <c r="A9" s="721" t="s">
        <v>699</v>
      </c>
      <c r="B9" s="112" t="s">
        <v>700</v>
      </c>
      <c r="C9" s="380">
        <v>34798000</v>
      </c>
      <c r="D9" s="822"/>
    </row>
    <row r="10" spans="1:4" ht="12.75">
      <c r="A10" s="721" t="s">
        <v>701</v>
      </c>
      <c r="B10" s="112" t="s">
        <v>702</v>
      </c>
      <c r="C10" s="380">
        <v>54250127</v>
      </c>
      <c r="D10" s="822"/>
    </row>
    <row r="11" spans="1:4" ht="12.75">
      <c r="A11" s="721" t="s">
        <v>112</v>
      </c>
      <c r="B11" s="112" t="s">
        <v>703</v>
      </c>
      <c r="C11" s="380">
        <v>24501470</v>
      </c>
      <c r="D11" s="822"/>
    </row>
    <row r="12" spans="1:4" ht="12.75">
      <c r="A12" s="721"/>
      <c r="B12" s="112"/>
      <c r="C12" s="380"/>
      <c r="D12" s="822"/>
    </row>
    <row r="13" spans="1:4" ht="12.75" customHeight="1">
      <c r="A13" s="721"/>
      <c r="B13" s="112"/>
      <c r="C13" s="380"/>
      <c r="D13" s="822"/>
    </row>
    <row r="14" spans="1:4" ht="12.75">
      <c r="A14" s="721"/>
      <c r="B14" s="112"/>
      <c r="C14" s="380"/>
      <c r="D14" s="822"/>
    </row>
    <row r="15" spans="1:4" ht="12.75">
      <c r="A15" s="721"/>
      <c r="B15" s="112"/>
      <c r="C15" s="380"/>
      <c r="D15" s="822"/>
    </row>
    <row r="16" spans="1:4" ht="12.75">
      <c r="A16" s="721"/>
      <c r="B16" s="112"/>
      <c r="C16" s="380"/>
      <c r="D16" s="822"/>
    </row>
    <row r="17" spans="1:4" ht="12.75">
      <c r="A17" s="721"/>
      <c r="B17" s="112"/>
      <c r="C17" s="380"/>
      <c r="D17" s="822"/>
    </row>
    <row r="18" spans="1:4" ht="12.75">
      <c r="A18" s="721"/>
      <c r="B18" s="112"/>
      <c r="C18" s="380"/>
      <c r="D18" s="822"/>
    </row>
    <row r="19" spans="1:4" ht="12.75">
      <c r="A19" s="721"/>
      <c r="B19" s="112"/>
      <c r="C19" s="380"/>
      <c r="D19" s="822"/>
    </row>
    <row r="20" spans="1:4" ht="12.75">
      <c r="A20" s="721"/>
      <c r="B20" s="112"/>
      <c r="C20" s="380"/>
      <c r="D20" s="822"/>
    </row>
    <row r="21" spans="1:4" ht="12.75">
      <c r="A21" s="721"/>
      <c r="B21" s="112"/>
      <c r="C21" s="380"/>
      <c r="D21" s="822"/>
    </row>
    <row r="22" spans="1:4" ht="12.75">
      <c r="A22" s="721"/>
      <c r="B22" s="112"/>
      <c r="C22" s="380"/>
      <c r="D22" s="822"/>
    </row>
    <row r="23" spans="1:4" ht="12.75">
      <c r="A23" s="721"/>
      <c r="B23" s="112"/>
      <c r="C23" s="380"/>
      <c r="D23" s="822"/>
    </row>
    <row r="24" spans="1:4" ht="13.5" thickBot="1">
      <c r="A24" s="722"/>
      <c r="B24" s="113"/>
      <c r="C24" s="380"/>
      <c r="D24" s="822"/>
    </row>
    <row r="25" spans="1:4" s="49" customFormat="1" ht="19.5" customHeight="1" thickBot="1">
      <c r="A25" s="644"/>
      <c r="B25" s="33" t="s">
        <v>53</v>
      </c>
      <c r="C25" s="48">
        <f>SUM(C5:C24)</f>
        <v>497441457</v>
      </c>
      <c r="D25" s="822"/>
    </row>
    <row r="26" spans="1:2" ht="12.75">
      <c r="A26" s="823" t="s">
        <v>658</v>
      </c>
      <c r="B26" s="823"/>
    </row>
  </sheetData>
  <sheetProtection/>
  <mergeCells count="3">
    <mergeCell ref="B1:C1"/>
    <mergeCell ref="D1:D25"/>
    <mergeCell ref="A26:B2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FF00"/>
  </sheetPr>
  <dimension ref="A1:D39"/>
  <sheetViews>
    <sheetView zoomScale="120" zoomScaleNormal="120" workbookViewId="0" topLeftCell="A11">
      <selection activeCell="A40" sqref="A40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3:4" ht="15">
      <c r="C1" s="612"/>
      <c r="D1" s="619" t="str">
        <f>CONCATENATE("6. tájékoztató tábla ",ALAPADATOK!A7," ",ALAPADATOK!B7," ",ALAPADATOK!C7," ",ALAPADATOK!D7," ",ALAPADATOK!E7," ",ALAPADATOK!F7," ",ALAPADATOK!G7," ",ALAPADATOK!H7)</f>
        <v>6. tájékoztató tábla a … / 2021 ( … ) önkormányzati rendelethez</v>
      </c>
    </row>
    <row r="2" spans="1:4" ht="45" customHeight="1">
      <c r="A2" s="827" t="str">
        <f>+CONCATENATE("K I M U T A T Á S",CHAR(10),"a ",LEFT(KV_ÖSSZEFÜGGÉSEK!A5,4),". évben céljelleggel juttatott támogatásokról")</f>
        <v>K I M U T A T Á S
a 2021. évben céljelleggel juttatott támogatásokról</v>
      </c>
      <c r="B2" s="827"/>
      <c r="C2" s="827"/>
      <c r="D2" s="827"/>
    </row>
    <row r="3" spans="1:4" ht="17.25" customHeight="1">
      <c r="A3" s="350"/>
      <c r="B3" s="350"/>
      <c r="C3" s="350"/>
      <c r="D3" s="350"/>
    </row>
    <row r="4" spans="1:4" ht="13.5" thickBot="1">
      <c r="A4" s="195"/>
      <c r="B4" s="195"/>
      <c r="C4" s="824" t="str">
        <f>'KV_4.sz.tájékoztató_t.'!O3</f>
        <v>Forintban!</v>
      </c>
      <c r="D4" s="824"/>
    </row>
    <row r="5" spans="1:4" ht="42.75" customHeight="1" thickBot="1">
      <c r="A5" s="352" t="s">
        <v>69</v>
      </c>
      <c r="B5" s="832" t="s">
        <v>125</v>
      </c>
      <c r="C5" s="832" t="s">
        <v>126</v>
      </c>
      <c r="D5" s="353" t="s">
        <v>14</v>
      </c>
    </row>
    <row r="6" spans="1:4" ht="15.75" customHeight="1">
      <c r="A6" s="196" t="s">
        <v>18</v>
      </c>
      <c r="B6" s="831" t="s">
        <v>708</v>
      </c>
      <c r="C6" s="831"/>
      <c r="D6" s="518">
        <v>350000</v>
      </c>
    </row>
    <row r="7" spans="1:4" ht="15.75" customHeight="1">
      <c r="A7" s="197" t="s">
        <v>19</v>
      </c>
      <c r="B7" s="29" t="s">
        <v>709</v>
      </c>
      <c r="C7" s="29" t="s">
        <v>710</v>
      </c>
      <c r="D7" s="519">
        <v>4500000</v>
      </c>
    </row>
    <row r="8" spans="1:4" ht="15.75" customHeight="1">
      <c r="A8" s="197" t="s">
        <v>20</v>
      </c>
      <c r="B8" s="29" t="s">
        <v>709</v>
      </c>
      <c r="C8" s="29" t="s">
        <v>711</v>
      </c>
      <c r="D8" s="519">
        <v>47459933</v>
      </c>
    </row>
    <row r="9" spans="1:4" ht="15.75" customHeight="1">
      <c r="A9" s="197" t="s">
        <v>21</v>
      </c>
      <c r="B9" s="831" t="s">
        <v>712</v>
      </c>
      <c r="C9" s="831" t="s">
        <v>713</v>
      </c>
      <c r="D9" s="519">
        <v>162500000</v>
      </c>
    </row>
    <row r="10" spans="1:4" ht="15.75" customHeight="1">
      <c r="A10" s="197" t="s">
        <v>22</v>
      </c>
      <c r="B10" s="831" t="s">
        <v>712</v>
      </c>
      <c r="C10" s="29" t="s">
        <v>714</v>
      </c>
      <c r="D10" s="519">
        <v>7400000</v>
      </c>
    </row>
    <row r="11" spans="1:4" ht="15.75" customHeight="1">
      <c r="A11" s="197" t="s">
        <v>23</v>
      </c>
      <c r="B11" s="29" t="s">
        <v>715</v>
      </c>
      <c r="C11" s="29" t="s">
        <v>716</v>
      </c>
      <c r="D11" s="519">
        <v>4000000</v>
      </c>
    </row>
    <row r="12" spans="1:4" ht="15.75" customHeight="1">
      <c r="A12" s="197" t="s">
        <v>24</v>
      </c>
      <c r="B12" s="29" t="s">
        <v>717</v>
      </c>
      <c r="C12" s="29" t="s">
        <v>718</v>
      </c>
      <c r="D12" s="519">
        <v>11013600</v>
      </c>
    </row>
    <row r="13" spans="1:4" ht="15.75" customHeight="1">
      <c r="A13" s="197" t="s">
        <v>25</v>
      </c>
      <c r="B13" s="29" t="s">
        <v>719</v>
      </c>
      <c r="C13" s="29" t="s">
        <v>720</v>
      </c>
      <c r="D13" s="519">
        <v>12136920</v>
      </c>
    </row>
    <row r="14" spans="1:4" ht="15.75" customHeight="1">
      <c r="A14" s="197" t="s">
        <v>26</v>
      </c>
      <c r="B14" s="29" t="s">
        <v>721</v>
      </c>
      <c r="C14" s="29" t="s">
        <v>722</v>
      </c>
      <c r="D14" s="519">
        <v>1200000</v>
      </c>
    </row>
    <row r="15" spans="1:4" ht="15.75" customHeight="1">
      <c r="A15" s="197" t="s">
        <v>27</v>
      </c>
      <c r="B15" s="29" t="s">
        <v>721</v>
      </c>
      <c r="C15" s="29" t="s">
        <v>723</v>
      </c>
      <c r="D15" s="519">
        <v>1300000</v>
      </c>
    </row>
    <row r="16" spans="1:4" ht="15.75" customHeight="1">
      <c r="A16" s="197" t="s">
        <v>28</v>
      </c>
      <c r="B16" s="29" t="s">
        <v>724</v>
      </c>
      <c r="C16" s="29"/>
      <c r="D16" s="519">
        <v>200000</v>
      </c>
    </row>
    <row r="17" spans="1:4" ht="15.75" customHeight="1">
      <c r="A17" s="197" t="s">
        <v>29</v>
      </c>
      <c r="B17" s="29" t="s">
        <v>725</v>
      </c>
      <c r="C17" s="29"/>
      <c r="D17" s="519">
        <v>2500000</v>
      </c>
    </row>
    <row r="18" spans="1:4" ht="15.75" customHeight="1">
      <c r="A18" s="197" t="s">
        <v>30</v>
      </c>
      <c r="B18" s="29" t="s">
        <v>726</v>
      </c>
      <c r="C18" s="29"/>
      <c r="D18" s="519">
        <v>240000</v>
      </c>
    </row>
    <row r="19" spans="1:4" ht="15.75" customHeight="1">
      <c r="A19" s="197" t="s">
        <v>31</v>
      </c>
      <c r="B19" s="29" t="s">
        <v>727</v>
      </c>
      <c r="C19" s="29"/>
      <c r="D19" s="519">
        <v>320000</v>
      </c>
    </row>
    <row r="20" spans="1:4" ht="15.75" customHeight="1">
      <c r="A20" s="197" t="s">
        <v>32</v>
      </c>
      <c r="B20" s="29" t="s">
        <v>728</v>
      </c>
      <c r="C20" s="29"/>
      <c r="D20" s="519">
        <v>400000</v>
      </c>
    </row>
    <row r="21" spans="1:4" ht="15.75" customHeight="1">
      <c r="A21" s="197" t="s">
        <v>33</v>
      </c>
      <c r="B21" s="29" t="s">
        <v>729</v>
      </c>
      <c r="C21" s="29"/>
      <c r="D21" s="519">
        <v>600000</v>
      </c>
    </row>
    <row r="22" spans="1:4" ht="15.75" customHeight="1">
      <c r="A22" s="197" t="s">
        <v>34</v>
      </c>
      <c r="B22" s="29" t="s">
        <v>730</v>
      </c>
      <c r="C22" s="29"/>
      <c r="D22" s="519">
        <v>502000</v>
      </c>
    </row>
    <row r="23" spans="1:4" ht="15.75" customHeight="1">
      <c r="A23" s="197" t="s">
        <v>35</v>
      </c>
      <c r="B23" s="29" t="s">
        <v>731</v>
      </c>
      <c r="C23" s="29"/>
      <c r="D23" s="519">
        <v>1100000</v>
      </c>
    </row>
    <row r="24" spans="1:4" ht="15.75" customHeight="1">
      <c r="A24" s="197" t="s">
        <v>36</v>
      </c>
      <c r="B24" s="29" t="s">
        <v>732</v>
      </c>
      <c r="C24" s="29"/>
      <c r="D24" s="519">
        <v>10000000</v>
      </c>
    </row>
    <row r="25" spans="1:4" ht="15.75" customHeight="1">
      <c r="A25" s="197" t="s">
        <v>37</v>
      </c>
      <c r="B25" s="29" t="s">
        <v>733</v>
      </c>
      <c r="C25" s="29"/>
      <c r="D25" s="519">
        <v>2000000</v>
      </c>
    </row>
    <row r="26" spans="1:4" ht="15.75" customHeight="1">
      <c r="A26" s="197" t="s">
        <v>38</v>
      </c>
      <c r="B26" s="29"/>
      <c r="C26" s="29"/>
      <c r="D26" s="519"/>
    </row>
    <row r="27" spans="1:4" ht="15.75" customHeight="1">
      <c r="A27" s="197" t="s">
        <v>39</v>
      </c>
      <c r="B27" s="29"/>
      <c r="C27" s="29"/>
      <c r="D27" s="519"/>
    </row>
    <row r="28" spans="1:4" ht="15.75" customHeight="1">
      <c r="A28" s="197" t="s">
        <v>40</v>
      </c>
      <c r="B28" s="29"/>
      <c r="C28" s="29"/>
      <c r="D28" s="519"/>
    </row>
    <row r="29" spans="1:4" ht="15.75" customHeight="1">
      <c r="A29" s="197" t="s">
        <v>41</v>
      </c>
      <c r="B29" s="29"/>
      <c r="C29" s="29"/>
      <c r="D29" s="519"/>
    </row>
    <row r="30" spans="1:4" ht="15.75" customHeight="1">
      <c r="A30" s="197" t="s">
        <v>42</v>
      </c>
      <c r="B30" s="29"/>
      <c r="C30" s="29"/>
      <c r="D30" s="519"/>
    </row>
    <row r="31" spans="1:4" ht="15.75" customHeight="1">
      <c r="A31" s="197" t="s">
        <v>43</v>
      </c>
      <c r="B31" s="29"/>
      <c r="C31" s="29"/>
      <c r="D31" s="519"/>
    </row>
    <row r="32" spans="1:4" ht="15.75" customHeight="1">
      <c r="A32" s="197" t="s">
        <v>44</v>
      </c>
      <c r="B32" s="29"/>
      <c r="C32" s="29"/>
      <c r="D32" s="519"/>
    </row>
    <row r="33" spans="1:4" ht="15.75" customHeight="1">
      <c r="A33" s="197" t="s">
        <v>45</v>
      </c>
      <c r="B33" s="29"/>
      <c r="C33" s="29"/>
      <c r="D33" s="519"/>
    </row>
    <row r="34" spans="1:4" ht="15.75" customHeight="1">
      <c r="A34" s="197" t="s">
        <v>46</v>
      </c>
      <c r="B34" s="29"/>
      <c r="C34" s="29"/>
      <c r="D34" s="519"/>
    </row>
    <row r="35" spans="1:4" ht="15.75" customHeight="1">
      <c r="A35" s="197" t="s">
        <v>127</v>
      </c>
      <c r="B35" s="29"/>
      <c r="C35" s="29"/>
      <c r="D35" s="520"/>
    </row>
    <row r="36" spans="1:4" ht="15.75" customHeight="1">
      <c r="A36" s="197" t="s">
        <v>128</v>
      </c>
      <c r="B36" s="29"/>
      <c r="C36" s="29"/>
      <c r="D36" s="520"/>
    </row>
    <row r="37" spans="1:4" ht="15.75" customHeight="1">
      <c r="A37" s="197" t="s">
        <v>129</v>
      </c>
      <c r="B37" s="29"/>
      <c r="C37" s="29"/>
      <c r="D37" s="520"/>
    </row>
    <row r="38" spans="1:4" ht="15.75" customHeight="1" thickBot="1">
      <c r="A38" s="198" t="s">
        <v>130</v>
      </c>
      <c r="B38" s="30"/>
      <c r="C38" s="30"/>
      <c r="D38" s="521"/>
    </row>
    <row r="39" spans="1:4" ht="15.75" customHeight="1" thickBot="1">
      <c r="A39" s="825" t="s">
        <v>53</v>
      </c>
      <c r="B39" s="826"/>
      <c r="C39" s="199"/>
      <c r="D39" s="522">
        <f>SUM(D6:D38)</f>
        <v>269722453</v>
      </c>
    </row>
  </sheetData>
  <sheetProtection/>
  <mergeCells count="3">
    <mergeCell ref="C4:D4"/>
    <mergeCell ref="A39:B39"/>
    <mergeCell ref="A2:D2"/>
  </mergeCells>
  <conditionalFormatting sqref="D39">
    <cfRule type="cellIs" priority="1" dxfId="7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FF00"/>
  </sheetPr>
  <dimension ref="A1:G51"/>
  <sheetViews>
    <sheetView zoomScale="120" zoomScaleNormal="120" zoomScaleSheetLayoutView="100" workbookViewId="0" topLeftCell="A1">
      <selection activeCell="E1" sqref="E1"/>
    </sheetView>
  </sheetViews>
  <sheetFormatPr defaultColWidth="9.00390625" defaultRowHeight="12.75"/>
  <cols>
    <col min="1" max="1" width="9.00390625" style="355" customWidth="1"/>
    <col min="2" max="2" width="66.375" style="355" bestFit="1" customWidth="1"/>
    <col min="3" max="3" width="15.50390625" style="356" customWidth="1"/>
    <col min="4" max="5" width="15.50390625" style="355" customWidth="1"/>
    <col min="6" max="6" width="9.00390625" style="386" customWidth="1"/>
    <col min="7" max="16384" width="9.375" style="386" customWidth="1"/>
  </cols>
  <sheetData>
    <row r="1" spans="3:5" ht="15.75">
      <c r="C1" s="615"/>
      <c r="D1" s="612"/>
      <c r="E1" s="619" t="str">
        <f>CONCATENATE("7. tájékoztató tábla ",ALAPADATOK!A7," ",ALAPADATOK!B7," ",ALAPADATOK!C7," ",ALAPADATOK!D7," ",ALAPADATOK!E7," ",ALAPADATOK!F7," ",ALAPADATOK!G7," ",ALAPADATOK!H7)</f>
        <v>7. tájékoztató tábla a … / 2021 ( … ) önkormányzati rendelethez</v>
      </c>
    </row>
    <row r="2" spans="1:5" ht="15.75">
      <c r="A2" s="828" t="str">
        <f>CONCATENATE(ALAPADATOK!A3)</f>
        <v>SOLYMÁR NAGYKÖZSÉG ÖNKORMÁNYZATA</v>
      </c>
      <c r="B2" s="829"/>
      <c r="C2" s="829"/>
      <c r="D2" s="829"/>
      <c r="E2" s="829"/>
    </row>
    <row r="3" spans="1:5" ht="15.75">
      <c r="A3" s="802" t="str">
        <f>CONCATENATE(ALAPADATOK!D7,". ÉVI KÖLTSÉGVETÉSI ÉVET KÖVETŐ 3 ÉV TERVEZETT")</f>
        <v>2021. ÉVI KÖLTSÉGVETÉSI ÉVET KÖVETŐ 3 ÉV TERVEZETT</v>
      </c>
      <c r="B3" s="830"/>
      <c r="C3" s="830"/>
      <c r="D3" s="830"/>
      <c r="E3" s="830"/>
    </row>
    <row r="4" spans="1:5" ht="15.75" customHeight="1">
      <c r="A4" s="743" t="s">
        <v>577</v>
      </c>
      <c r="B4" s="743"/>
      <c r="C4" s="743"/>
      <c r="D4" s="743"/>
      <c r="E4" s="743"/>
    </row>
    <row r="5" spans="1:5" ht="15.75" customHeight="1" thickBot="1">
      <c r="A5" s="742" t="s">
        <v>150</v>
      </c>
      <c r="B5" s="742"/>
      <c r="D5" s="135"/>
      <c r="E5" s="282" t="str">
        <f>'KV_4.sz.tájékoztató_t.'!O3</f>
        <v>Forintban!</v>
      </c>
    </row>
    <row r="6" spans="1:5" ht="37.5" customHeight="1" thickBot="1">
      <c r="A6" s="23" t="s">
        <v>69</v>
      </c>
      <c r="B6" s="24" t="s">
        <v>17</v>
      </c>
      <c r="C6" s="24" t="str">
        <f>+CONCATENATE(LEFT(KV_ÖSSZEFÜGGÉSEK!A5,4)+1,". évi")</f>
        <v>2022. évi</v>
      </c>
      <c r="D6" s="379" t="str">
        <f>+CONCATENATE(LEFT(KV_ÖSSZEFÜGGÉSEK!A5,4)+2,". évi")</f>
        <v>2023. évi</v>
      </c>
      <c r="E6" s="152" t="str">
        <f>+CONCATENATE(LEFT(KV_ÖSSZEFÜGGÉSEK!A5,4)+3,". évi")</f>
        <v>2024. évi</v>
      </c>
    </row>
    <row r="7" spans="1:5" s="387" customFormat="1" ht="12" customHeight="1" thickBot="1">
      <c r="A7" s="31" t="s">
        <v>484</v>
      </c>
      <c r="B7" s="32" t="s">
        <v>485</v>
      </c>
      <c r="C7" s="32" t="s">
        <v>486</v>
      </c>
      <c r="D7" s="32" t="s">
        <v>488</v>
      </c>
      <c r="E7" s="421" t="s">
        <v>487</v>
      </c>
    </row>
    <row r="8" spans="1:5" s="388" customFormat="1" ht="12" customHeight="1" thickBot="1">
      <c r="A8" s="20" t="s">
        <v>18</v>
      </c>
      <c r="B8" s="21" t="s">
        <v>522</v>
      </c>
      <c r="C8" s="438">
        <v>500000000</v>
      </c>
      <c r="D8" s="438">
        <v>500000000</v>
      </c>
      <c r="E8" s="439">
        <v>500000000</v>
      </c>
    </row>
    <row r="9" spans="1:5" s="388" customFormat="1" ht="12" customHeight="1" thickBot="1">
      <c r="A9" s="20" t="s">
        <v>19</v>
      </c>
      <c r="B9" s="267" t="s">
        <v>366</v>
      </c>
      <c r="C9" s="438">
        <v>44000000</v>
      </c>
      <c r="D9" s="438">
        <v>44000000</v>
      </c>
      <c r="E9" s="439">
        <v>44000000</v>
      </c>
    </row>
    <row r="10" spans="1:5" s="388" customFormat="1" ht="12" customHeight="1" thickBot="1">
      <c r="A10" s="20" t="s">
        <v>20</v>
      </c>
      <c r="B10" s="21" t="s">
        <v>373</v>
      </c>
      <c r="C10" s="438"/>
      <c r="D10" s="438">
        <v>0</v>
      </c>
      <c r="E10" s="439">
        <v>0</v>
      </c>
    </row>
    <row r="11" spans="1:5" s="388" customFormat="1" ht="12" customHeight="1" thickBot="1">
      <c r="A11" s="20" t="s">
        <v>171</v>
      </c>
      <c r="B11" s="21" t="s">
        <v>260</v>
      </c>
      <c r="C11" s="378">
        <f>SUM(C12:C18)</f>
        <v>870000000</v>
      </c>
      <c r="D11" s="378">
        <f>SUM(D12:D18)</f>
        <v>910000000</v>
      </c>
      <c r="E11" s="420">
        <f>SUM(E12:E18)</f>
        <v>940000000</v>
      </c>
    </row>
    <row r="12" spans="1:5" s="388" customFormat="1" ht="12" customHeight="1">
      <c r="A12" s="15" t="s">
        <v>261</v>
      </c>
      <c r="B12" s="389" t="str">
        <f>'KV_1.1.sz.mell.'!B32</f>
        <v>Építményadó</v>
      </c>
      <c r="C12" s="373">
        <v>211000000</v>
      </c>
      <c r="D12" s="373">
        <v>211000000</v>
      </c>
      <c r="E12" s="241">
        <v>211000000</v>
      </c>
    </row>
    <row r="13" spans="1:5" s="388" customFormat="1" ht="12" customHeight="1">
      <c r="A13" s="14" t="s">
        <v>262</v>
      </c>
      <c r="B13" s="390" t="str">
        <f>'KV_1.1.sz.mell.'!B33</f>
        <v>Telekadó</v>
      </c>
      <c r="C13" s="372">
        <v>135000000</v>
      </c>
      <c r="D13" s="372">
        <v>135000000</v>
      </c>
      <c r="E13" s="240">
        <v>135000000</v>
      </c>
    </row>
    <row r="14" spans="1:5" s="388" customFormat="1" ht="12" customHeight="1">
      <c r="A14" s="14" t="s">
        <v>263</v>
      </c>
      <c r="B14" s="390" t="str">
        <f>'KV_1.1.sz.mell.'!B34</f>
        <v>Iparűzési adó</v>
      </c>
      <c r="C14" s="372">
        <v>510000000</v>
      </c>
      <c r="D14" s="372">
        <v>550000000</v>
      </c>
      <c r="E14" s="240">
        <v>580000000</v>
      </c>
    </row>
    <row r="15" spans="1:5" s="388" customFormat="1" ht="12" customHeight="1">
      <c r="A15" s="14" t="s">
        <v>264</v>
      </c>
      <c r="B15" s="390" t="str">
        <f>'KV_1.1.sz.mell.'!B35</f>
        <v>Talajterhelési díj</v>
      </c>
      <c r="C15" s="372">
        <v>2000000</v>
      </c>
      <c r="D15" s="372">
        <v>2000000</v>
      </c>
      <c r="E15" s="240">
        <v>2000000</v>
      </c>
    </row>
    <row r="16" spans="1:5" s="388" customFormat="1" ht="12" customHeight="1">
      <c r="A16" s="14" t="s">
        <v>543</v>
      </c>
      <c r="B16" s="390" t="str">
        <f>'KV_1.1.sz.mell.'!B36</f>
        <v>Gépjárműadó</v>
      </c>
      <c r="C16" s="372"/>
      <c r="D16" s="372"/>
      <c r="E16" s="240"/>
    </row>
    <row r="17" spans="1:5" s="388" customFormat="1" ht="12" customHeight="1">
      <c r="A17" s="14" t="s">
        <v>544</v>
      </c>
      <c r="B17" s="390" t="str">
        <f>'KV_1.1.sz.mell.'!B37</f>
        <v>Adópótlék, adóbírság</v>
      </c>
      <c r="C17" s="372">
        <v>4000000</v>
      </c>
      <c r="D17" s="372">
        <v>4000000</v>
      </c>
      <c r="E17" s="240">
        <v>4000000</v>
      </c>
    </row>
    <row r="18" spans="1:5" s="388" customFormat="1" ht="12" customHeight="1" thickBot="1">
      <c r="A18" s="16" t="s">
        <v>545</v>
      </c>
      <c r="B18" s="391" t="str">
        <f>'KV_1.1.sz.mell.'!B38</f>
        <v>Egyéb  közhatalmi bevételek</v>
      </c>
      <c r="C18" s="374">
        <v>8000000</v>
      </c>
      <c r="D18" s="374">
        <v>8000000</v>
      </c>
      <c r="E18" s="242">
        <v>8000000</v>
      </c>
    </row>
    <row r="19" spans="1:5" s="388" customFormat="1" ht="12" customHeight="1" thickBot="1">
      <c r="A19" s="20" t="s">
        <v>22</v>
      </c>
      <c r="B19" s="21" t="s">
        <v>525</v>
      </c>
      <c r="C19" s="438">
        <v>78000000</v>
      </c>
      <c r="D19" s="438">
        <v>78000000</v>
      </c>
      <c r="E19" s="439">
        <v>78000000</v>
      </c>
    </row>
    <row r="20" spans="1:5" s="388" customFormat="1" ht="12" customHeight="1" thickBot="1">
      <c r="A20" s="20" t="s">
        <v>23</v>
      </c>
      <c r="B20" s="21" t="s">
        <v>10</v>
      </c>
      <c r="C20" s="438">
        <v>50000000</v>
      </c>
      <c r="D20" s="438">
        <v>50000000</v>
      </c>
      <c r="E20" s="439">
        <v>50000000</v>
      </c>
    </row>
    <row r="21" spans="1:5" s="388" customFormat="1" ht="12" customHeight="1" thickBot="1">
      <c r="A21" s="20" t="s">
        <v>178</v>
      </c>
      <c r="B21" s="21" t="s">
        <v>524</v>
      </c>
      <c r="C21" s="438">
        <v>12000000</v>
      </c>
      <c r="D21" s="438">
        <v>12000000</v>
      </c>
      <c r="E21" s="439">
        <v>12000000</v>
      </c>
    </row>
    <row r="22" spans="1:5" s="388" customFormat="1" ht="12" customHeight="1" thickBot="1">
      <c r="A22" s="20" t="s">
        <v>25</v>
      </c>
      <c r="B22" s="267" t="s">
        <v>523</v>
      </c>
      <c r="C22" s="438"/>
      <c r="D22" s="438"/>
      <c r="E22" s="439"/>
    </row>
    <row r="23" spans="1:5" s="388" customFormat="1" ht="12" customHeight="1" thickBot="1">
      <c r="A23" s="20" t="s">
        <v>26</v>
      </c>
      <c r="B23" s="21" t="s">
        <v>298</v>
      </c>
      <c r="C23" s="378">
        <f>+C8+C9+C10+C11+C19+C20+C21+C22</f>
        <v>1554000000</v>
      </c>
      <c r="D23" s="378">
        <f>+D8+D9+D10+D11+D19+D20+D21+D22</f>
        <v>1594000000</v>
      </c>
      <c r="E23" s="278">
        <f>+E8+E9+E10+E11+E19+E20+E21+E22</f>
        <v>1624000000</v>
      </c>
    </row>
    <row r="24" spans="1:5" s="388" customFormat="1" ht="12" customHeight="1" thickBot="1">
      <c r="A24" s="20" t="s">
        <v>27</v>
      </c>
      <c r="B24" s="21" t="s">
        <v>526</v>
      </c>
      <c r="C24" s="483">
        <v>300000000</v>
      </c>
      <c r="D24" s="483">
        <v>300000000</v>
      </c>
      <c r="E24" s="484">
        <v>300000000</v>
      </c>
    </row>
    <row r="25" spans="1:5" s="388" customFormat="1" ht="12" customHeight="1" thickBot="1">
      <c r="A25" s="20" t="s">
        <v>28</v>
      </c>
      <c r="B25" s="21" t="s">
        <v>527</v>
      </c>
      <c r="C25" s="378">
        <f>+C23+C24</f>
        <v>1854000000</v>
      </c>
      <c r="D25" s="378">
        <f>+D23+D24</f>
        <v>1894000000</v>
      </c>
      <c r="E25" s="420">
        <f>+E23+E24</f>
        <v>1924000000</v>
      </c>
    </row>
    <row r="26" spans="1:5" s="388" customFormat="1" ht="12" customHeight="1">
      <c r="A26" s="344"/>
      <c r="B26" s="345"/>
      <c r="C26" s="346"/>
      <c r="D26" s="480"/>
      <c r="E26" s="481"/>
    </row>
    <row r="27" spans="1:5" s="388" customFormat="1" ht="12" customHeight="1">
      <c r="A27" s="743" t="s">
        <v>47</v>
      </c>
      <c r="B27" s="743"/>
      <c r="C27" s="743"/>
      <c r="D27" s="743"/>
      <c r="E27" s="743"/>
    </row>
    <row r="28" spans="1:5" s="388" customFormat="1" ht="12" customHeight="1" thickBot="1">
      <c r="A28" s="740" t="s">
        <v>151</v>
      </c>
      <c r="B28" s="740"/>
      <c r="C28" s="356"/>
      <c r="D28" s="135"/>
      <c r="E28" s="282" t="str">
        <f>E5</f>
        <v>Forintban!</v>
      </c>
    </row>
    <row r="29" spans="1:6" s="388" customFormat="1" ht="24" customHeight="1" thickBot="1">
      <c r="A29" s="23" t="s">
        <v>16</v>
      </c>
      <c r="B29" s="24" t="s">
        <v>48</v>
      </c>
      <c r="C29" s="24" t="str">
        <f>+C6</f>
        <v>2022. évi</v>
      </c>
      <c r="D29" s="24" t="str">
        <f>+D6</f>
        <v>2023. évi</v>
      </c>
      <c r="E29" s="152" t="str">
        <f>+E6</f>
        <v>2024. évi</v>
      </c>
      <c r="F29" s="482"/>
    </row>
    <row r="30" spans="1:6" s="388" customFormat="1" ht="12" customHeight="1" thickBot="1">
      <c r="A30" s="383" t="s">
        <v>484</v>
      </c>
      <c r="B30" s="384" t="s">
        <v>485</v>
      </c>
      <c r="C30" s="384" t="s">
        <v>486</v>
      </c>
      <c r="D30" s="384" t="s">
        <v>488</v>
      </c>
      <c r="E30" s="476" t="s">
        <v>487</v>
      </c>
      <c r="F30" s="482"/>
    </row>
    <row r="31" spans="1:6" s="388" customFormat="1" ht="15" customHeight="1" thickBot="1">
      <c r="A31" s="20" t="s">
        <v>18</v>
      </c>
      <c r="B31" s="27" t="s">
        <v>528</v>
      </c>
      <c r="C31" s="438">
        <v>1804000000</v>
      </c>
      <c r="D31" s="438">
        <v>1844000000</v>
      </c>
      <c r="E31" s="434">
        <v>1874000000</v>
      </c>
      <c r="F31" s="482"/>
    </row>
    <row r="32" spans="1:5" ht="12" customHeight="1" thickBot="1">
      <c r="A32" s="455" t="s">
        <v>19</v>
      </c>
      <c r="B32" s="477" t="s">
        <v>533</v>
      </c>
      <c r="C32" s="478">
        <f>+C33+C34+C35</f>
        <v>50000000</v>
      </c>
      <c r="D32" s="478">
        <f>+D33+D34+D35</f>
        <v>50000000</v>
      </c>
      <c r="E32" s="479">
        <f>+E33+E34+E35</f>
        <v>50000000</v>
      </c>
    </row>
    <row r="33" spans="1:5" ht="12" customHeight="1">
      <c r="A33" s="15" t="s">
        <v>104</v>
      </c>
      <c r="B33" s="8" t="s">
        <v>223</v>
      </c>
      <c r="C33" s="373">
        <v>50000000</v>
      </c>
      <c r="D33" s="373">
        <v>50000000</v>
      </c>
      <c r="E33" s="241">
        <v>50000000</v>
      </c>
    </row>
    <row r="34" spans="1:5" ht="12" customHeight="1">
      <c r="A34" s="15" t="s">
        <v>105</v>
      </c>
      <c r="B34" s="12" t="s">
        <v>185</v>
      </c>
      <c r="C34" s="372"/>
      <c r="D34" s="372"/>
      <c r="E34" s="240"/>
    </row>
    <row r="35" spans="1:5" ht="12" customHeight="1" thickBot="1">
      <c r="A35" s="15" t="s">
        <v>106</v>
      </c>
      <c r="B35" s="269" t="s">
        <v>225</v>
      </c>
      <c r="C35" s="372"/>
      <c r="D35" s="372"/>
      <c r="E35" s="240"/>
    </row>
    <row r="36" spans="1:5" ht="12" customHeight="1" thickBot="1">
      <c r="A36" s="20" t="s">
        <v>20</v>
      </c>
      <c r="B36" s="119" t="s">
        <v>439</v>
      </c>
      <c r="C36" s="371">
        <f>+C31+C32</f>
        <v>1854000000</v>
      </c>
      <c r="D36" s="371">
        <f>+D31+D32</f>
        <v>1894000000</v>
      </c>
      <c r="E36" s="239">
        <f>+E31+E32</f>
        <v>1924000000</v>
      </c>
    </row>
    <row r="37" spans="1:6" ht="15" customHeight="1" thickBot="1">
      <c r="A37" s="20" t="s">
        <v>21</v>
      </c>
      <c r="B37" s="119" t="s">
        <v>529</v>
      </c>
      <c r="C37" s="485"/>
      <c r="D37" s="485"/>
      <c r="E37" s="486"/>
      <c r="F37" s="401"/>
    </row>
    <row r="38" spans="1:5" s="388" customFormat="1" ht="12.75" customHeight="1" thickBot="1">
      <c r="A38" s="270" t="s">
        <v>22</v>
      </c>
      <c r="B38" s="354" t="s">
        <v>530</v>
      </c>
      <c r="C38" s="475">
        <f>+C36+C37</f>
        <v>1854000000</v>
      </c>
      <c r="D38" s="475">
        <f>+D36+D37</f>
        <v>1894000000</v>
      </c>
      <c r="E38" s="469">
        <f>+E36+E37</f>
        <v>1924000000</v>
      </c>
    </row>
    <row r="39" spans="3:5" ht="15.75">
      <c r="C39" s="625">
        <f>C25-C38</f>
        <v>0</v>
      </c>
      <c r="D39" s="625">
        <f>D25-D38</f>
        <v>0</v>
      </c>
      <c r="E39" s="625">
        <f>E25-E38</f>
        <v>0</v>
      </c>
    </row>
    <row r="40" ht="15.75">
      <c r="C40" s="355"/>
    </row>
    <row r="41" ht="15.75">
      <c r="C41" s="355"/>
    </row>
    <row r="42" ht="16.5" customHeight="1">
      <c r="C42" s="355"/>
    </row>
    <row r="43" ht="15.75">
      <c r="C43" s="355"/>
    </row>
    <row r="44" ht="15.75">
      <c r="C44" s="355"/>
    </row>
    <row r="45" spans="6:7" s="355" customFormat="1" ht="15.75">
      <c r="F45" s="386"/>
      <c r="G45" s="386"/>
    </row>
    <row r="46" spans="6:7" s="355" customFormat="1" ht="15.75">
      <c r="F46" s="386"/>
      <c r="G46" s="386"/>
    </row>
    <row r="47" spans="6:7" s="355" customFormat="1" ht="15.75">
      <c r="F47" s="386"/>
      <c r="G47" s="386"/>
    </row>
    <row r="48" spans="6:7" s="355" customFormat="1" ht="15.75">
      <c r="F48" s="386"/>
      <c r="G48" s="386"/>
    </row>
    <row r="49" spans="6:7" s="355" customFormat="1" ht="15.75">
      <c r="F49" s="386"/>
      <c r="G49" s="386"/>
    </row>
    <row r="50" spans="6:7" s="355" customFormat="1" ht="15.75">
      <c r="F50" s="386"/>
      <c r="G50" s="386"/>
    </row>
    <row r="51" spans="6:7" s="355" customFormat="1" ht="15.75">
      <c r="F51" s="386"/>
      <c r="G51" s="386"/>
    </row>
  </sheetData>
  <sheetProtection sheet="1"/>
  <mergeCells count="6">
    <mergeCell ref="A4:E4"/>
    <mergeCell ref="A5:B5"/>
    <mergeCell ref="A27:E27"/>
    <mergeCell ref="A28:B28"/>
    <mergeCell ref="A2:E2"/>
    <mergeCell ref="A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FF00"/>
  </sheetPr>
  <dimension ref="A1:H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53.375" style="0" customWidth="1"/>
    <col min="3" max="4" width="16.00390625" style="0" customWidth="1"/>
    <col min="5" max="5" width="17.00390625" style="0" customWidth="1"/>
    <col min="8" max="8" width="12.50390625" style="0" bestFit="1" customWidth="1"/>
  </cols>
  <sheetData>
    <row r="1" ht="19.5" customHeight="1">
      <c r="E1" s="619" t="str">
        <f>CONCATENATE("8. tájékoztató tábla ",ALAPADATOK!A7," ",ALAPADATOK!B7," ",ALAPADATOK!C7," ",ALAPADATOK!D7," ",ALAPADATOK!E7," ",ALAPADATOK!F7," ",ALAPADATOK!G7," ",ALAPADATOK!H7)</f>
        <v>8. tájékoztató tábla a … / 2021 ( … ) önkormányzati rendelethez</v>
      </c>
    </row>
    <row r="2" spans="1:5" ht="37.5" customHeight="1">
      <c r="A2" s="833" t="s">
        <v>734</v>
      </c>
      <c r="B2" s="833"/>
      <c r="C2" s="833"/>
      <c r="D2" s="833"/>
      <c r="E2" s="833"/>
    </row>
    <row r="3" spans="1:5" ht="20.25" customHeight="1">
      <c r="A3" s="834"/>
      <c r="B3" s="835" t="s">
        <v>735</v>
      </c>
      <c r="C3" s="836"/>
      <c r="D3" s="836"/>
      <c r="E3" s="836"/>
    </row>
    <row r="4" spans="1:5" ht="15.75">
      <c r="A4" s="837" t="s">
        <v>736</v>
      </c>
      <c r="B4" s="837" t="s">
        <v>737</v>
      </c>
      <c r="C4" s="838" t="s">
        <v>738</v>
      </c>
      <c r="D4" s="839" t="s">
        <v>739</v>
      </c>
      <c r="E4" s="838" t="s">
        <v>740</v>
      </c>
    </row>
    <row r="5" spans="1:5" ht="24" customHeight="1">
      <c r="A5" s="840">
        <v>1</v>
      </c>
      <c r="B5" s="841" t="s">
        <v>741</v>
      </c>
      <c r="C5" s="842">
        <v>13000000</v>
      </c>
      <c r="D5" s="842">
        <f>C5*0.27</f>
        <v>3510000</v>
      </c>
      <c r="E5" s="843">
        <f>C5+D5</f>
        <v>16510000</v>
      </c>
    </row>
    <row r="6" spans="1:5" ht="24" customHeight="1">
      <c r="A6" s="840">
        <f>A5+1</f>
        <v>2</v>
      </c>
      <c r="B6" s="844" t="s">
        <v>742</v>
      </c>
      <c r="C6" s="842">
        <v>10000000</v>
      </c>
      <c r="D6" s="842">
        <f>C6*0.27</f>
        <v>2700000</v>
      </c>
      <c r="E6" s="843">
        <f>C6+D6</f>
        <v>12700000</v>
      </c>
    </row>
    <row r="7" spans="1:5" ht="24" customHeight="1">
      <c r="A7" s="840">
        <f>A6+1</f>
        <v>3</v>
      </c>
      <c r="B7" s="845" t="s">
        <v>743</v>
      </c>
      <c r="C7" s="842">
        <v>5500000</v>
      </c>
      <c r="D7" s="842">
        <f>C7*0.27</f>
        <v>1485000</v>
      </c>
      <c r="E7" s="843">
        <f>SUM(C7:D7)</f>
        <v>6985000</v>
      </c>
    </row>
    <row r="8" spans="1:5" ht="24" customHeight="1">
      <c r="A8" s="840">
        <f>A7+1</f>
        <v>4</v>
      </c>
      <c r="B8" s="845" t="s">
        <v>744</v>
      </c>
      <c r="C8" s="842">
        <v>5500000</v>
      </c>
      <c r="D8" s="842">
        <f>C8*0.27</f>
        <v>1485000</v>
      </c>
      <c r="E8" s="843">
        <f>SUM(C8:D8)</f>
        <v>6985000</v>
      </c>
    </row>
    <row r="9" spans="1:5" ht="22.5" customHeight="1">
      <c r="A9" s="840">
        <f>A8+1</f>
        <v>5</v>
      </c>
      <c r="B9" s="845" t="s">
        <v>745</v>
      </c>
      <c r="C9" s="842">
        <v>4200000</v>
      </c>
      <c r="D9" s="842">
        <f>C9*0.27</f>
        <v>1134000</v>
      </c>
      <c r="E9" s="843">
        <f>SUM(C9:D9)</f>
        <v>5334000</v>
      </c>
    </row>
    <row r="10" spans="1:5" ht="22.5" customHeight="1">
      <c r="A10" s="840"/>
      <c r="B10" s="846" t="s">
        <v>746</v>
      </c>
      <c r="C10" s="847">
        <f>SUM(C5:C9)</f>
        <v>38200000</v>
      </c>
      <c r="D10" s="847">
        <f>SUM(D5:D9)</f>
        <v>10314000</v>
      </c>
      <c r="E10" s="848">
        <f>SUM(E5:E9)</f>
        <v>48514000</v>
      </c>
    </row>
    <row r="11" spans="1:5" ht="22.5" customHeight="1">
      <c r="A11" s="840"/>
      <c r="B11" s="835" t="s">
        <v>747</v>
      </c>
      <c r="C11" s="836"/>
      <c r="D11" s="836"/>
      <c r="E11" s="836"/>
    </row>
    <row r="12" spans="1:5" ht="16.5" customHeight="1">
      <c r="A12" s="837" t="s">
        <v>736</v>
      </c>
      <c r="B12" s="837" t="s">
        <v>737</v>
      </c>
      <c r="C12" s="838" t="s">
        <v>738</v>
      </c>
      <c r="D12" s="839" t="s">
        <v>739</v>
      </c>
      <c r="E12" s="839" t="s">
        <v>740</v>
      </c>
    </row>
    <row r="13" spans="1:5" ht="15.75">
      <c r="A13" s="840">
        <v>1</v>
      </c>
      <c r="B13" s="849" t="s">
        <v>748</v>
      </c>
      <c r="C13" s="850">
        <v>90000000</v>
      </c>
      <c r="D13" s="851">
        <f aca="true" t="shared" si="0" ref="D13:D27">C13*0.27</f>
        <v>24300000</v>
      </c>
      <c r="E13" s="852">
        <f aca="true" t="shared" si="1" ref="E13:E29">C13+D13</f>
        <v>114300000</v>
      </c>
    </row>
    <row r="14" spans="1:5" ht="33.75" customHeight="1">
      <c r="A14" s="840">
        <f>A13+1</f>
        <v>2</v>
      </c>
      <c r="B14" s="853" t="s">
        <v>749</v>
      </c>
      <c r="C14" s="851">
        <v>50000000</v>
      </c>
      <c r="D14" s="851">
        <f t="shared" si="0"/>
        <v>13500000</v>
      </c>
      <c r="E14" s="852">
        <f t="shared" si="1"/>
        <v>63500000</v>
      </c>
    </row>
    <row r="15" spans="1:5" ht="29.25" customHeight="1">
      <c r="A15" s="840">
        <f aca="true" t="shared" si="2" ref="A15:A25">A14+1</f>
        <v>3</v>
      </c>
      <c r="B15" s="853" t="s">
        <v>750</v>
      </c>
      <c r="C15" s="851">
        <v>6000000</v>
      </c>
      <c r="D15" s="851">
        <f t="shared" si="0"/>
        <v>1620000</v>
      </c>
      <c r="E15" s="852">
        <f t="shared" si="1"/>
        <v>7620000</v>
      </c>
    </row>
    <row r="16" spans="1:5" ht="29.25" customHeight="1">
      <c r="A16" s="840">
        <f t="shared" si="2"/>
        <v>4</v>
      </c>
      <c r="B16" s="853" t="s">
        <v>751</v>
      </c>
      <c r="C16" s="851">
        <v>4800000</v>
      </c>
      <c r="D16" s="851">
        <f t="shared" si="0"/>
        <v>1296000</v>
      </c>
      <c r="E16" s="852">
        <f t="shared" si="1"/>
        <v>6096000</v>
      </c>
    </row>
    <row r="17" spans="1:5" ht="29.25" customHeight="1">
      <c r="A17" s="840">
        <f t="shared" si="2"/>
        <v>5</v>
      </c>
      <c r="B17" s="854" t="s">
        <v>752</v>
      </c>
      <c r="C17" s="851">
        <v>1000000</v>
      </c>
      <c r="D17" s="851">
        <f t="shared" si="0"/>
        <v>270000</v>
      </c>
      <c r="E17" s="852">
        <f t="shared" si="1"/>
        <v>1270000</v>
      </c>
    </row>
    <row r="18" spans="1:5" ht="29.25" customHeight="1">
      <c r="A18" s="840">
        <f t="shared" si="2"/>
        <v>6</v>
      </c>
      <c r="B18" s="853" t="s">
        <v>753</v>
      </c>
      <c r="C18" s="851">
        <v>1400000</v>
      </c>
      <c r="D18" s="851">
        <f t="shared" si="0"/>
        <v>378000</v>
      </c>
      <c r="E18" s="852">
        <f t="shared" si="1"/>
        <v>1778000</v>
      </c>
    </row>
    <row r="19" spans="1:8" ht="29.25" customHeight="1">
      <c r="A19" s="840">
        <f t="shared" si="2"/>
        <v>7</v>
      </c>
      <c r="B19" s="853" t="s">
        <v>754</v>
      </c>
      <c r="C19" s="851">
        <v>1500000</v>
      </c>
      <c r="D19" s="851">
        <f t="shared" si="0"/>
        <v>405000</v>
      </c>
      <c r="E19" s="852">
        <f t="shared" si="1"/>
        <v>1905000</v>
      </c>
      <c r="H19" s="855"/>
    </row>
    <row r="20" spans="1:8" ht="29.25" customHeight="1">
      <c r="A20" s="840">
        <f t="shared" si="2"/>
        <v>8</v>
      </c>
      <c r="B20" s="853" t="s">
        <v>755</v>
      </c>
      <c r="C20" s="851">
        <v>4500000</v>
      </c>
      <c r="D20" s="851">
        <f t="shared" si="0"/>
        <v>1215000</v>
      </c>
      <c r="E20" s="852">
        <f t="shared" si="1"/>
        <v>5715000</v>
      </c>
      <c r="H20" s="855"/>
    </row>
    <row r="21" spans="1:8" ht="29.25" customHeight="1">
      <c r="A21" s="840">
        <f t="shared" si="2"/>
        <v>9</v>
      </c>
      <c r="B21" s="853" t="s">
        <v>756</v>
      </c>
      <c r="C21" s="851">
        <v>7000000</v>
      </c>
      <c r="D21" s="851">
        <f t="shared" si="0"/>
        <v>1890000.0000000002</v>
      </c>
      <c r="E21" s="852">
        <f t="shared" si="1"/>
        <v>8890000</v>
      </c>
      <c r="H21" s="855"/>
    </row>
    <row r="22" spans="1:8" ht="29.25" customHeight="1">
      <c r="A22" s="840">
        <f t="shared" si="2"/>
        <v>10</v>
      </c>
      <c r="B22" s="853" t="s">
        <v>757</v>
      </c>
      <c r="C22" s="851">
        <v>5000000</v>
      </c>
      <c r="D22" s="851">
        <f t="shared" si="0"/>
        <v>1350000</v>
      </c>
      <c r="E22" s="852">
        <f t="shared" si="1"/>
        <v>6350000</v>
      </c>
      <c r="H22" s="855"/>
    </row>
    <row r="23" spans="1:8" ht="29.25" customHeight="1">
      <c r="A23" s="840">
        <f t="shared" si="2"/>
        <v>11</v>
      </c>
      <c r="B23" s="853" t="s">
        <v>758</v>
      </c>
      <c r="C23" s="851">
        <v>350000</v>
      </c>
      <c r="D23" s="851">
        <f t="shared" si="0"/>
        <v>94500</v>
      </c>
      <c r="E23" s="852">
        <f t="shared" si="1"/>
        <v>444500</v>
      </c>
      <c r="H23" s="855"/>
    </row>
    <row r="24" spans="1:8" ht="29.25" customHeight="1">
      <c r="A24" s="840">
        <f t="shared" si="2"/>
        <v>12</v>
      </c>
      <c r="B24" s="853" t="s">
        <v>759</v>
      </c>
      <c r="C24" s="851">
        <v>1200000</v>
      </c>
      <c r="D24" s="851">
        <f t="shared" si="0"/>
        <v>324000</v>
      </c>
      <c r="E24" s="852">
        <f t="shared" si="1"/>
        <v>1524000</v>
      </c>
      <c r="H24" s="855"/>
    </row>
    <row r="25" spans="1:8" ht="29.25" customHeight="1">
      <c r="A25" s="840">
        <f t="shared" si="2"/>
        <v>13</v>
      </c>
      <c r="B25" s="853" t="s">
        <v>760</v>
      </c>
      <c r="C25" s="851">
        <v>2000000</v>
      </c>
      <c r="D25" s="851">
        <f t="shared" si="0"/>
        <v>540000</v>
      </c>
      <c r="E25" s="852">
        <f t="shared" si="1"/>
        <v>2540000</v>
      </c>
      <c r="H25" s="855"/>
    </row>
    <row r="26" spans="1:8" ht="29.25" customHeight="1">
      <c r="A26" s="840">
        <f>A23+1</f>
        <v>12</v>
      </c>
      <c r="B26" s="853" t="s">
        <v>761</v>
      </c>
      <c r="C26" s="851">
        <v>2000000</v>
      </c>
      <c r="D26" s="851">
        <f t="shared" si="0"/>
        <v>540000</v>
      </c>
      <c r="E26" s="852">
        <f t="shared" si="1"/>
        <v>2540000</v>
      </c>
      <c r="H26" s="855"/>
    </row>
    <row r="27" spans="1:8" ht="29.25" customHeight="1">
      <c r="A27" s="840">
        <f>A24+1</f>
        <v>13</v>
      </c>
      <c r="B27" s="853" t="s">
        <v>762</v>
      </c>
      <c r="C27" s="851">
        <v>7100000</v>
      </c>
      <c r="D27" s="851">
        <f t="shared" si="0"/>
        <v>1917000.0000000002</v>
      </c>
      <c r="E27" s="852">
        <f t="shared" si="1"/>
        <v>9017000</v>
      </c>
      <c r="H27" s="855"/>
    </row>
    <row r="28" spans="1:8" ht="40.5" customHeight="1">
      <c r="A28" s="840"/>
      <c r="B28" s="846" t="s">
        <v>763</v>
      </c>
      <c r="C28" s="847">
        <f>SUM(C13:C27)</f>
        <v>183850000</v>
      </c>
      <c r="D28" s="847">
        <f>SUM(D13:D27)</f>
        <v>49639500</v>
      </c>
      <c r="E28" s="848">
        <f t="shared" si="1"/>
        <v>233489500</v>
      </c>
      <c r="H28" s="855"/>
    </row>
    <row r="29" spans="1:8" ht="46.5" customHeight="1">
      <c r="A29" s="840"/>
      <c r="B29" s="856" t="s">
        <v>764</v>
      </c>
      <c r="C29" s="857">
        <f>C10+C28</f>
        <v>222050000</v>
      </c>
      <c r="D29" s="857">
        <f>D10+D28</f>
        <v>59953500</v>
      </c>
      <c r="E29" s="858">
        <f t="shared" si="1"/>
        <v>282003500</v>
      </c>
      <c r="H29" s="855"/>
    </row>
    <row r="30" ht="30" customHeight="1"/>
    <row r="31" ht="21.75" customHeight="1"/>
  </sheetData>
  <sheetProtection/>
  <mergeCells count="3">
    <mergeCell ref="A2:E2"/>
    <mergeCell ref="B3:E3"/>
    <mergeCell ref="B11:E11"/>
  </mergeCells>
  <printOptions/>
  <pageMargins left="0.7" right="0.7" top="0.75" bottom="0.75" header="0.3" footer="0.3"/>
  <pageSetup horizontalDpi="600" verticalDpi="600" orientation="portrait" paperSize="9" scale="9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164"/>
  <sheetViews>
    <sheetView zoomScale="120" zoomScaleNormal="120" zoomScaleSheetLayoutView="100" workbookViewId="0" topLeftCell="A132">
      <selection activeCell="E161" sqref="E161"/>
    </sheetView>
  </sheetViews>
  <sheetFormatPr defaultColWidth="9.00390625" defaultRowHeight="12.75"/>
  <cols>
    <col min="1" max="1" width="9.50390625" style="355" customWidth="1"/>
    <col min="2" max="2" width="99.375" style="355" customWidth="1"/>
    <col min="3" max="3" width="21.625" style="356" customWidth="1"/>
    <col min="4" max="4" width="9.00390625" style="386" customWidth="1"/>
    <col min="5" max="16384" width="9.375" style="386" customWidth="1"/>
  </cols>
  <sheetData>
    <row r="1" spans="1:3" ht="18.75" customHeight="1">
      <c r="A1" s="596"/>
      <c r="B1" s="736" t="str">
        <f>CONCATENATE("1.2. melléklet ",ALAPADATOK!A7," ",ALAPADATOK!B7," ",ALAPADATOK!C7," ",ALAPADATOK!D7," ",ALAPADATOK!E7," ",ALAPADATOK!F7," ",ALAPADATOK!G7," ",ALAPADATOK!H7)</f>
        <v>1.2. melléklet a … / 2021 ( … ) önkormányzati rendelethez</v>
      </c>
      <c r="C1" s="737"/>
    </row>
    <row r="2" spans="1:3" ht="21.75" customHeight="1">
      <c r="A2" s="597"/>
      <c r="B2" s="598" t="str">
        <f>CONCATENATE(ALAPADATOK!A3)</f>
        <v>SOLYMÁR NAGYKÖZSÉG ÖNKORMÁNYZATA</v>
      </c>
      <c r="C2" s="599"/>
    </row>
    <row r="3" spans="1:3" ht="21.75" customHeight="1">
      <c r="A3" s="599"/>
      <c r="B3" s="598" t="str">
        <f>'KV_1.1.sz.mell.'!B3</f>
        <v>2021. ÉVI KÖLTSÉGVETÉS</v>
      </c>
      <c r="C3" s="599"/>
    </row>
    <row r="4" spans="1:3" ht="21.75" customHeight="1">
      <c r="A4" s="599"/>
      <c r="B4" s="598" t="s">
        <v>568</v>
      </c>
      <c r="C4" s="599"/>
    </row>
    <row r="5" spans="1:3" ht="21.75" customHeight="1">
      <c r="A5" s="596"/>
      <c r="B5" s="596"/>
      <c r="C5" s="600"/>
    </row>
    <row r="6" spans="1:3" ht="15" customHeight="1">
      <c r="A6" s="738" t="s">
        <v>15</v>
      </c>
      <c r="B6" s="738"/>
      <c r="C6" s="738"/>
    </row>
    <row r="7" spans="1:3" ht="15" customHeight="1" thickBot="1">
      <c r="A7" s="739" t="s">
        <v>150</v>
      </c>
      <c r="B7" s="739"/>
      <c r="C7" s="548" t="str">
        <f>CONCATENATE('KV_1.1.sz.mell.'!C7)</f>
        <v>Forintban!</v>
      </c>
    </row>
    <row r="8" spans="1:3" ht="24" customHeight="1" thickBot="1">
      <c r="A8" s="601" t="s">
        <v>69</v>
      </c>
      <c r="B8" s="602" t="s">
        <v>17</v>
      </c>
      <c r="C8" s="603" t="str">
        <f>+CONCATENATE(LEFT(KV_ÖSSZEFÜGGÉSEK!A5,4),". évi előirányzat")</f>
        <v>2021. évi előirányzat</v>
      </c>
    </row>
    <row r="9" spans="1:3" s="387" customFormat="1" ht="12" customHeight="1" thickBot="1">
      <c r="A9" s="533"/>
      <c r="B9" s="534" t="s">
        <v>484</v>
      </c>
      <c r="C9" s="535" t="s">
        <v>485</v>
      </c>
    </row>
    <row r="10" spans="1:3" s="388" customFormat="1" ht="12" customHeight="1" thickBot="1">
      <c r="A10" s="20" t="s">
        <v>18</v>
      </c>
      <c r="B10" s="21" t="s">
        <v>245</v>
      </c>
      <c r="C10" s="272">
        <f>+C11+C12+C13+C14+C15+C16</f>
        <v>497441457</v>
      </c>
    </row>
    <row r="11" spans="1:3" s="388" customFormat="1" ht="12" customHeight="1">
      <c r="A11" s="15" t="s">
        <v>98</v>
      </c>
      <c r="B11" s="389" t="s">
        <v>246</v>
      </c>
      <c r="C11" s="275">
        <f>'KV_9.1.1.sz.mell'!C9</f>
        <v>223720930</v>
      </c>
    </row>
    <row r="12" spans="1:3" s="388" customFormat="1" ht="12" customHeight="1">
      <c r="A12" s="14" t="s">
        <v>99</v>
      </c>
      <c r="B12" s="390" t="s">
        <v>247</v>
      </c>
      <c r="C12" s="275">
        <f>'KV_9.1.1.sz.mell'!C10</f>
        <v>144810450</v>
      </c>
    </row>
    <row r="13" spans="1:3" s="388" customFormat="1" ht="12" customHeight="1">
      <c r="A13" s="14" t="s">
        <v>100</v>
      </c>
      <c r="B13" s="390" t="s">
        <v>541</v>
      </c>
      <c r="C13" s="275">
        <f>'KV_9.1.1.sz.mell'!C11</f>
        <v>104408607</v>
      </c>
    </row>
    <row r="14" spans="1:3" s="388" customFormat="1" ht="12" customHeight="1">
      <c r="A14" s="14" t="s">
        <v>101</v>
      </c>
      <c r="B14" s="390" t="s">
        <v>249</v>
      </c>
      <c r="C14" s="275">
        <f>'KV_9.1.1.sz.mell'!C12</f>
        <v>24501470</v>
      </c>
    </row>
    <row r="15" spans="1:3" s="388" customFormat="1" ht="12" customHeight="1">
      <c r="A15" s="14" t="s">
        <v>146</v>
      </c>
      <c r="B15" s="268" t="s">
        <v>423</v>
      </c>
      <c r="C15" s="275">
        <f>'KV_9.1.1.sz.mell'!C13</f>
        <v>0</v>
      </c>
    </row>
    <row r="16" spans="1:3" s="388" customFormat="1" ht="12" customHeight="1" thickBot="1">
      <c r="A16" s="16" t="s">
        <v>102</v>
      </c>
      <c r="B16" s="269" t="s">
        <v>424</v>
      </c>
      <c r="C16" s="275">
        <f>'KV_9.1.1.sz.mell'!C14</f>
        <v>0</v>
      </c>
    </row>
    <row r="17" spans="1:3" s="388" customFormat="1" ht="12" customHeight="1" thickBot="1">
      <c r="A17" s="20" t="s">
        <v>19</v>
      </c>
      <c r="B17" s="267" t="s">
        <v>250</v>
      </c>
      <c r="C17" s="272">
        <f>+C18+C19+C20+C21+C22</f>
        <v>43786400</v>
      </c>
    </row>
    <row r="18" spans="1:3" s="388" customFormat="1" ht="12" customHeight="1">
      <c r="A18" s="15" t="s">
        <v>104</v>
      </c>
      <c r="B18" s="389" t="s">
        <v>251</v>
      </c>
      <c r="C18" s="275">
        <f>'KV_9.1.1.sz.mell'!C16</f>
        <v>0</v>
      </c>
    </row>
    <row r="19" spans="1:3" s="388" customFormat="1" ht="12" customHeight="1">
      <c r="A19" s="14" t="s">
        <v>105</v>
      </c>
      <c r="B19" s="390" t="s">
        <v>252</v>
      </c>
      <c r="C19" s="275">
        <f>'KV_9.1.1.sz.mell'!C17</f>
        <v>0</v>
      </c>
    </row>
    <row r="20" spans="1:3" s="388" customFormat="1" ht="12" customHeight="1">
      <c r="A20" s="14" t="s">
        <v>106</v>
      </c>
      <c r="B20" s="390" t="s">
        <v>413</v>
      </c>
      <c r="C20" s="275">
        <f>'KV_9.1.1.sz.mell'!C18</f>
        <v>0</v>
      </c>
    </row>
    <row r="21" spans="1:3" s="388" customFormat="1" ht="12" customHeight="1">
      <c r="A21" s="14" t="s">
        <v>107</v>
      </c>
      <c r="B21" s="390" t="s">
        <v>414</v>
      </c>
      <c r="C21" s="275">
        <f>'KV_9.1.1.sz.mell'!C19</f>
        <v>0</v>
      </c>
    </row>
    <row r="22" spans="1:3" s="388" customFormat="1" ht="12" customHeight="1">
      <c r="A22" s="14" t="s">
        <v>108</v>
      </c>
      <c r="B22" s="390" t="s">
        <v>562</v>
      </c>
      <c r="C22" s="275">
        <f>'KV_9.1.1.sz.mell'!C20</f>
        <v>43786400</v>
      </c>
    </row>
    <row r="23" spans="1:3" s="388" customFormat="1" ht="12" customHeight="1" thickBot="1">
      <c r="A23" s="16" t="s">
        <v>117</v>
      </c>
      <c r="B23" s="269" t="s">
        <v>254</v>
      </c>
      <c r="C23" s="275">
        <f>'KV_9.1.1.sz.mell'!C21</f>
        <v>0</v>
      </c>
    </row>
    <row r="24" spans="1:3" s="388" customFormat="1" ht="12" customHeight="1" thickBot="1">
      <c r="A24" s="20" t="s">
        <v>20</v>
      </c>
      <c r="B24" s="21" t="s">
        <v>255</v>
      </c>
      <c r="C24" s="272">
        <f>+C25+C26+C27+C28+C29</f>
        <v>63310137</v>
      </c>
    </row>
    <row r="25" spans="1:3" s="388" customFormat="1" ht="12" customHeight="1">
      <c r="A25" s="15" t="s">
        <v>87</v>
      </c>
      <c r="B25" s="389" t="s">
        <v>256</v>
      </c>
      <c r="C25" s="275">
        <f>'KV_9.1.1.sz.mell'!C23</f>
        <v>0</v>
      </c>
    </row>
    <row r="26" spans="1:3" s="388" customFormat="1" ht="12" customHeight="1">
      <c r="A26" s="14" t="s">
        <v>88</v>
      </c>
      <c r="B26" s="390" t="s">
        <v>257</v>
      </c>
      <c r="C26" s="275">
        <f>'KV_9.1.1.sz.mell'!C24</f>
        <v>0</v>
      </c>
    </row>
    <row r="27" spans="1:3" s="388" customFormat="1" ht="12" customHeight="1">
      <c r="A27" s="14" t="s">
        <v>89</v>
      </c>
      <c r="B27" s="390" t="s">
        <v>415</v>
      </c>
      <c r="C27" s="275">
        <f>'KV_9.1.1.sz.mell'!C25</f>
        <v>0</v>
      </c>
    </row>
    <row r="28" spans="1:3" s="388" customFormat="1" ht="12" customHeight="1">
      <c r="A28" s="14" t="s">
        <v>90</v>
      </c>
      <c r="B28" s="390" t="s">
        <v>416</v>
      </c>
      <c r="C28" s="275">
        <f>'KV_9.1.1.sz.mell'!C26</f>
        <v>0</v>
      </c>
    </row>
    <row r="29" spans="1:3" s="388" customFormat="1" ht="12" customHeight="1">
      <c r="A29" s="14" t="s">
        <v>169</v>
      </c>
      <c r="B29" s="390" t="s">
        <v>258</v>
      </c>
      <c r="C29" s="275">
        <f>'KV_9.1.1.sz.mell'!C27</f>
        <v>63310137</v>
      </c>
    </row>
    <row r="30" spans="1:3" s="526" customFormat="1" ht="12" customHeight="1" thickBot="1">
      <c r="A30" s="536" t="s">
        <v>170</v>
      </c>
      <c r="B30" s="524" t="s">
        <v>557</v>
      </c>
      <c r="C30" s="275">
        <f>'KV_9.1.1.sz.mell'!C28</f>
        <v>63310137</v>
      </c>
    </row>
    <row r="31" spans="1:3" s="388" customFormat="1" ht="12" customHeight="1" thickBot="1">
      <c r="A31" s="20" t="s">
        <v>171</v>
      </c>
      <c r="B31" s="21" t="s">
        <v>542</v>
      </c>
      <c r="C31" s="278">
        <f>SUM(C32:C38)</f>
        <v>8000000</v>
      </c>
    </row>
    <row r="32" spans="1:3" s="388" customFormat="1" ht="12" customHeight="1">
      <c r="A32" s="15" t="s">
        <v>261</v>
      </c>
      <c r="B32" s="389" t="str">
        <f>'KV_1.1.sz.mell.'!B32</f>
        <v>Építményadó</v>
      </c>
      <c r="C32" s="275">
        <f>'KV_9.1.1.sz.mell'!C30</f>
        <v>0</v>
      </c>
    </row>
    <row r="33" spans="1:3" s="388" customFormat="1" ht="12" customHeight="1">
      <c r="A33" s="14" t="s">
        <v>262</v>
      </c>
      <c r="B33" s="389" t="str">
        <f>'KV_1.1.sz.mell.'!B33</f>
        <v>Telekadó</v>
      </c>
      <c r="C33" s="275">
        <f>'KV_9.1.1.sz.mell'!C31</f>
        <v>0</v>
      </c>
    </row>
    <row r="34" spans="1:3" s="388" customFormat="1" ht="12" customHeight="1">
      <c r="A34" s="14" t="s">
        <v>263</v>
      </c>
      <c r="B34" s="389" t="str">
        <f>'KV_1.1.sz.mell.'!B34</f>
        <v>Iparűzési adó</v>
      </c>
      <c r="C34" s="275">
        <f>'KV_9.1.1.sz.mell'!C32</f>
        <v>0</v>
      </c>
    </row>
    <row r="35" spans="1:3" s="388" customFormat="1" ht="12" customHeight="1">
      <c r="A35" s="14" t="s">
        <v>264</v>
      </c>
      <c r="B35" s="389" t="str">
        <f>'KV_1.1.sz.mell.'!B35</f>
        <v>Talajterhelési díj</v>
      </c>
      <c r="C35" s="275">
        <f>'KV_9.1.1.sz.mell'!C33</f>
        <v>0</v>
      </c>
    </row>
    <row r="36" spans="1:3" s="388" customFormat="1" ht="12" customHeight="1">
      <c r="A36" s="14" t="s">
        <v>543</v>
      </c>
      <c r="B36" s="389" t="str">
        <f>'KV_1.1.sz.mell.'!B36</f>
        <v>Gépjárműadó</v>
      </c>
      <c r="C36" s="275">
        <f>'KV_9.1.1.sz.mell'!C34</f>
        <v>0</v>
      </c>
    </row>
    <row r="37" spans="1:3" s="388" customFormat="1" ht="12" customHeight="1">
      <c r="A37" s="14" t="s">
        <v>544</v>
      </c>
      <c r="B37" s="389" t="str">
        <f>'KV_1.1.sz.mell.'!B37</f>
        <v>Adópótlék, adóbírság</v>
      </c>
      <c r="C37" s="275">
        <f>'KV_9.1.1.sz.mell'!C35</f>
        <v>0</v>
      </c>
    </row>
    <row r="38" spans="1:3" s="388" customFormat="1" ht="12" customHeight="1" thickBot="1">
      <c r="A38" s="16" t="s">
        <v>545</v>
      </c>
      <c r="B38" s="389" t="str">
        <f>'KV_1.1.sz.mell.'!B38</f>
        <v>Egyéb  közhatalmi bevételek</v>
      </c>
      <c r="C38" s="275">
        <f>'KV_9.1.1.sz.mell'!C36</f>
        <v>8000000</v>
      </c>
    </row>
    <row r="39" spans="1:3" s="388" customFormat="1" ht="12" customHeight="1" thickBot="1">
      <c r="A39" s="20" t="s">
        <v>22</v>
      </c>
      <c r="B39" s="21" t="s">
        <v>425</v>
      </c>
      <c r="C39" s="272">
        <f>SUM(C40:C50)</f>
        <v>72546256</v>
      </c>
    </row>
    <row r="40" spans="1:3" s="388" customFormat="1" ht="12" customHeight="1">
      <c r="A40" s="15" t="s">
        <v>91</v>
      </c>
      <c r="B40" s="389" t="s">
        <v>268</v>
      </c>
      <c r="C40" s="275">
        <f>'KV_9.1.1.sz.mell'!C38+'KV_9.2.1.sz.mell'!C9+'KV_9.3.1.sz.mell'!C9+'KV_9.4.1.sz.mell'!C9+'KV_9.5.1.sz.mell'!C9</f>
        <v>0</v>
      </c>
    </row>
    <row r="41" spans="1:3" s="388" customFormat="1" ht="12" customHeight="1">
      <c r="A41" s="14" t="s">
        <v>92</v>
      </c>
      <c r="B41" s="390" t="s">
        <v>269</v>
      </c>
      <c r="C41" s="275">
        <f>'KV_9.1.1.sz.mell'!C39+'KV_9.2.1.sz.mell'!C10+'KV_9.3.1.sz.mell'!C10+'KV_9.4.1.sz.mell'!C10+'KV_9.5.1.sz.mell'!C10</f>
        <v>8344171</v>
      </c>
    </row>
    <row r="42" spans="1:3" s="388" customFormat="1" ht="12" customHeight="1">
      <c r="A42" s="14" t="s">
        <v>93</v>
      </c>
      <c r="B42" s="390" t="s">
        <v>270</v>
      </c>
      <c r="C42" s="275">
        <f>'KV_9.1.1.sz.mell'!C40+'KV_9.2.1.sz.mell'!C11+'KV_9.3.1.sz.mell'!C11+'KV_9.4.1.sz.mell'!C11+'KV_9.5.1.sz.mell'!C11</f>
        <v>0</v>
      </c>
    </row>
    <row r="43" spans="1:3" s="388" customFormat="1" ht="12" customHeight="1">
      <c r="A43" s="14" t="s">
        <v>173</v>
      </c>
      <c r="B43" s="390" t="s">
        <v>271</v>
      </c>
      <c r="C43" s="275">
        <f>'KV_9.1.1.sz.mell'!C41+'KV_9.2.1.sz.mell'!C12+'KV_9.3.1.sz.mell'!C12+'KV_9.4.1.sz.mell'!C12+'KV_9.5.1.sz.mell'!C12</f>
        <v>22243200</v>
      </c>
    </row>
    <row r="44" spans="1:3" s="388" customFormat="1" ht="12" customHeight="1">
      <c r="A44" s="14" t="s">
        <v>174</v>
      </c>
      <c r="B44" s="390" t="s">
        <v>272</v>
      </c>
      <c r="C44" s="275">
        <f>'KV_9.1.1.sz.mell'!C42+'KV_9.2.1.sz.mell'!C13+'KV_9.3.1.sz.mell'!C13+'KV_9.4.1.sz.mell'!C13+'KV_9.5.1.sz.mell'!C13</f>
        <v>26577947</v>
      </c>
    </row>
    <row r="45" spans="1:3" s="388" customFormat="1" ht="12" customHeight="1">
      <c r="A45" s="14" t="s">
        <v>175</v>
      </c>
      <c r="B45" s="390" t="s">
        <v>273</v>
      </c>
      <c r="C45" s="275">
        <f>'KV_9.1.1.sz.mell'!C43+'KV_9.2.1.sz.mell'!C14+'KV_9.3.1.sz.mell'!C14+'KV_9.4.1.sz.mell'!C14+'KV_9.5.1.sz.mell'!C14</f>
        <v>15380938</v>
      </c>
    </row>
    <row r="46" spans="1:3" s="388" customFormat="1" ht="12" customHeight="1">
      <c r="A46" s="14" t="s">
        <v>176</v>
      </c>
      <c r="B46" s="390" t="s">
        <v>274</v>
      </c>
      <c r="C46" s="275">
        <f>'KV_9.1.1.sz.mell'!C44+'KV_9.2.1.sz.mell'!C15+'KV_9.3.1.sz.mell'!C15+'KV_9.4.1.sz.mell'!C15+'KV_9.5.1.sz.mell'!C15</f>
        <v>0</v>
      </c>
    </row>
    <row r="47" spans="1:3" s="388" customFormat="1" ht="12" customHeight="1">
      <c r="A47" s="14" t="s">
        <v>177</v>
      </c>
      <c r="B47" s="390" t="s">
        <v>549</v>
      </c>
      <c r="C47" s="275">
        <f>'KV_9.1.1.sz.mell'!C45+'KV_9.2.1.sz.mell'!C16+'KV_9.3.1.sz.mell'!C16+'KV_9.4.1.sz.mell'!C16+'KV_9.5.1.sz.mell'!C16</f>
        <v>0</v>
      </c>
    </row>
    <row r="48" spans="1:3" s="388" customFormat="1" ht="12" customHeight="1">
      <c r="A48" s="14" t="s">
        <v>266</v>
      </c>
      <c r="B48" s="390" t="s">
        <v>276</v>
      </c>
      <c r="C48" s="275">
        <f>'KV_9.1.1.sz.mell'!C46+'KV_9.2.1.sz.mell'!C17+'KV_9.3.1.sz.mell'!C17+'KV_9.4.1.sz.mell'!C17+'KV_9.5.1.sz.mell'!C17</f>
        <v>0</v>
      </c>
    </row>
    <row r="49" spans="1:3" s="388" customFormat="1" ht="12" customHeight="1">
      <c r="A49" s="16" t="s">
        <v>267</v>
      </c>
      <c r="B49" s="391" t="s">
        <v>427</v>
      </c>
      <c r="C49" s="275">
        <f>'KV_9.1.1.sz.mell'!C47+'KV_9.2.1.sz.mell'!C18+'KV_9.3.1.sz.mell'!C18+'KV_9.4.1.sz.mell'!C18+'KV_9.5.1.sz.mell'!C18</f>
        <v>0</v>
      </c>
    </row>
    <row r="50" spans="1:3" s="388" customFormat="1" ht="12" customHeight="1" thickBot="1">
      <c r="A50" s="16" t="s">
        <v>426</v>
      </c>
      <c r="B50" s="269" t="s">
        <v>277</v>
      </c>
      <c r="C50" s="275">
        <f>'KV_9.1.1.sz.mell'!C48+'KV_9.2.1.sz.mell'!C19+'KV_9.3.1.sz.mell'!C19+'KV_9.4.1.sz.mell'!C19+'KV_9.5.1.sz.mell'!C19</f>
        <v>0</v>
      </c>
    </row>
    <row r="51" spans="1:3" s="388" customFormat="1" ht="12" customHeight="1" thickBot="1">
      <c r="A51" s="20" t="s">
        <v>23</v>
      </c>
      <c r="B51" s="21" t="s">
        <v>278</v>
      </c>
      <c r="C51" s="272">
        <f>SUM(C52:C56)</f>
        <v>0</v>
      </c>
    </row>
    <row r="52" spans="1:3" s="388" customFormat="1" ht="12" customHeight="1">
      <c r="A52" s="15" t="s">
        <v>94</v>
      </c>
      <c r="B52" s="389" t="s">
        <v>282</v>
      </c>
      <c r="C52" s="433">
        <f>'KV_9.1.1.sz.mell'!C50</f>
        <v>0</v>
      </c>
    </row>
    <row r="53" spans="1:3" s="388" customFormat="1" ht="12" customHeight="1">
      <c r="A53" s="14" t="s">
        <v>95</v>
      </c>
      <c r="B53" s="390" t="s">
        <v>283</v>
      </c>
      <c r="C53" s="433">
        <f>'KV_9.1.1.sz.mell'!C51</f>
        <v>0</v>
      </c>
    </row>
    <row r="54" spans="1:3" s="388" customFormat="1" ht="12" customHeight="1">
      <c r="A54" s="14" t="s">
        <v>279</v>
      </c>
      <c r="B54" s="390" t="s">
        <v>284</v>
      </c>
      <c r="C54" s="433">
        <f>'KV_9.1.1.sz.mell'!C52</f>
        <v>0</v>
      </c>
    </row>
    <row r="55" spans="1:3" s="388" customFormat="1" ht="12" customHeight="1">
      <c r="A55" s="14" t="s">
        <v>280</v>
      </c>
      <c r="B55" s="390" t="s">
        <v>285</v>
      </c>
      <c r="C55" s="433">
        <f>'KV_9.1.1.sz.mell'!C53</f>
        <v>0</v>
      </c>
    </row>
    <row r="56" spans="1:3" s="388" customFormat="1" ht="12" customHeight="1" thickBot="1">
      <c r="A56" s="16" t="s">
        <v>281</v>
      </c>
      <c r="B56" s="269" t="s">
        <v>286</v>
      </c>
      <c r="C56" s="433">
        <f>'KV_9.1.1.sz.mell'!C54</f>
        <v>0</v>
      </c>
    </row>
    <row r="57" spans="1:3" s="388" customFormat="1" ht="12" customHeight="1" thickBot="1">
      <c r="A57" s="20" t="s">
        <v>178</v>
      </c>
      <c r="B57" s="21" t="s">
        <v>287</v>
      </c>
      <c r="C57" s="272">
        <f>SUM(C58:C60)</f>
        <v>0</v>
      </c>
    </row>
    <row r="58" spans="1:3" s="388" customFormat="1" ht="12" customHeight="1">
      <c r="A58" s="15" t="s">
        <v>96</v>
      </c>
      <c r="B58" s="389" t="s">
        <v>288</v>
      </c>
      <c r="C58" s="275">
        <f>'KV_9.1.1.sz.mell'!C56</f>
        <v>0</v>
      </c>
    </row>
    <row r="59" spans="1:3" s="388" customFormat="1" ht="12" customHeight="1">
      <c r="A59" s="14" t="s">
        <v>97</v>
      </c>
      <c r="B59" s="390" t="s">
        <v>417</v>
      </c>
      <c r="C59" s="275">
        <f>'KV_9.1.1.sz.mell'!C57</f>
        <v>0</v>
      </c>
    </row>
    <row r="60" spans="1:3" s="388" customFormat="1" ht="12" customHeight="1">
      <c r="A60" s="14" t="s">
        <v>291</v>
      </c>
      <c r="B60" s="390" t="s">
        <v>289</v>
      </c>
      <c r="C60" s="275">
        <f>'KV_9.1.1.sz.mell'!C58</f>
        <v>0</v>
      </c>
    </row>
    <row r="61" spans="1:3" s="388" customFormat="1" ht="12" customHeight="1" thickBot="1">
      <c r="A61" s="16" t="s">
        <v>292</v>
      </c>
      <c r="B61" s="269" t="s">
        <v>290</v>
      </c>
      <c r="C61" s="275">
        <f>'KV_9.1.1.sz.mell'!C59</f>
        <v>0</v>
      </c>
    </row>
    <row r="62" spans="1:3" s="388" customFormat="1" ht="12" customHeight="1" thickBot="1">
      <c r="A62" s="20" t="s">
        <v>25</v>
      </c>
      <c r="B62" s="267" t="s">
        <v>293</v>
      </c>
      <c r="C62" s="272">
        <f>SUM(C63:C65)</f>
        <v>0</v>
      </c>
    </row>
    <row r="63" spans="1:3" s="388" customFormat="1" ht="12" customHeight="1">
      <c r="A63" s="15" t="s">
        <v>179</v>
      </c>
      <c r="B63" s="389" t="s">
        <v>295</v>
      </c>
      <c r="C63" s="277">
        <f>'KV_9.1.1.sz.mell'!C61</f>
        <v>0</v>
      </c>
    </row>
    <row r="64" spans="1:3" s="388" customFormat="1" ht="12" customHeight="1">
      <c r="A64" s="14" t="s">
        <v>180</v>
      </c>
      <c r="B64" s="390" t="s">
        <v>418</v>
      </c>
      <c r="C64" s="277">
        <f>'KV_9.1.1.sz.mell'!C62</f>
        <v>0</v>
      </c>
    </row>
    <row r="65" spans="1:3" s="388" customFormat="1" ht="12" customHeight="1">
      <c r="A65" s="14" t="s">
        <v>224</v>
      </c>
      <c r="B65" s="390" t="s">
        <v>296</v>
      </c>
      <c r="C65" s="277">
        <f>'KV_9.1.1.sz.mell'!C63</f>
        <v>0</v>
      </c>
    </row>
    <row r="66" spans="1:3" s="388" customFormat="1" ht="12" customHeight="1" thickBot="1">
      <c r="A66" s="16" t="s">
        <v>294</v>
      </c>
      <c r="B66" s="269" t="s">
        <v>297</v>
      </c>
      <c r="C66" s="277">
        <f>'KV_9.1.1.sz.mell'!C64</f>
        <v>0</v>
      </c>
    </row>
    <row r="67" spans="1:3" s="388" customFormat="1" ht="12" customHeight="1" thickBot="1">
      <c r="A67" s="460" t="s">
        <v>467</v>
      </c>
      <c r="B67" s="21" t="s">
        <v>298</v>
      </c>
      <c r="C67" s="278">
        <f>+C10+C17+C24+C31+C39+C51+C57+C62</f>
        <v>685084250</v>
      </c>
    </row>
    <row r="68" spans="1:3" s="388" customFormat="1" ht="12" customHeight="1" thickBot="1">
      <c r="A68" s="436" t="s">
        <v>299</v>
      </c>
      <c r="B68" s="267" t="s">
        <v>300</v>
      </c>
      <c r="C68" s="272">
        <f>SUM(C69:C71)</f>
        <v>0</v>
      </c>
    </row>
    <row r="69" spans="1:3" s="388" customFormat="1" ht="12" customHeight="1">
      <c r="A69" s="15" t="s">
        <v>328</v>
      </c>
      <c r="B69" s="389" t="s">
        <v>301</v>
      </c>
      <c r="C69" s="277">
        <f>'KV_9.1.1.sz.mell'!C67</f>
        <v>0</v>
      </c>
    </row>
    <row r="70" spans="1:3" s="388" customFormat="1" ht="12" customHeight="1">
      <c r="A70" s="14" t="s">
        <v>337</v>
      </c>
      <c r="B70" s="390" t="s">
        <v>302</v>
      </c>
      <c r="C70" s="277">
        <f>'KV_9.1.1.sz.mell'!C68</f>
        <v>0</v>
      </c>
    </row>
    <row r="71" spans="1:3" s="388" customFormat="1" ht="12" customHeight="1" thickBot="1">
      <c r="A71" s="16" t="s">
        <v>338</v>
      </c>
      <c r="B71" s="454" t="s">
        <v>558</v>
      </c>
      <c r="C71" s="277">
        <f>'KV_9.1.1.sz.mell'!C69</f>
        <v>0</v>
      </c>
    </row>
    <row r="72" spans="1:3" s="388" customFormat="1" ht="12" customHeight="1" thickBot="1">
      <c r="A72" s="436" t="s">
        <v>304</v>
      </c>
      <c r="B72" s="267" t="s">
        <v>305</v>
      </c>
      <c r="C72" s="272">
        <f>SUM(C73:C76)</f>
        <v>0</v>
      </c>
    </row>
    <row r="73" spans="1:3" s="388" customFormat="1" ht="12" customHeight="1">
      <c r="A73" s="15" t="s">
        <v>147</v>
      </c>
      <c r="B73" s="389" t="s">
        <v>306</v>
      </c>
      <c r="C73" s="277">
        <f>'KV_9.1.1.sz.mell'!C71</f>
        <v>0</v>
      </c>
    </row>
    <row r="74" spans="1:3" s="388" customFormat="1" ht="12" customHeight="1">
      <c r="A74" s="14" t="s">
        <v>148</v>
      </c>
      <c r="B74" s="390" t="s">
        <v>559</v>
      </c>
      <c r="C74" s="277">
        <f>'KV_9.1.1.sz.mell'!C72</f>
        <v>0</v>
      </c>
    </row>
    <row r="75" spans="1:3" s="388" customFormat="1" ht="12" customHeight="1" thickBot="1">
      <c r="A75" s="16" t="s">
        <v>329</v>
      </c>
      <c r="B75" s="391" t="s">
        <v>307</v>
      </c>
      <c r="C75" s="277">
        <f>'KV_9.1.1.sz.mell'!C73</f>
        <v>0</v>
      </c>
    </row>
    <row r="76" spans="1:3" s="388" customFormat="1" ht="12" customHeight="1" thickBot="1">
      <c r="A76" s="538" t="s">
        <v>330</v>
      </c>
      <c r="B76" s="539" t="s">
        <v>560</v>
      </c>
      <c r="C76" s="540"/>
    </row>
    <row r="77" spans="1:3" s="388" customFormat="1" ht="12" customHeight="1" thickBot="1">
      <c r="A77" s="436" t="s">
        <v>308</v>
      </c>
      <c r="B77" s="267" t="s">
        <v>309</v>
      </c>
      <c r="C77" s="272">
        <f>SUM(C78:C79)</f>
        <v>368639357</v>
      </c>
    </row>
    <row r="78" spans="1:3" s="388" customFormat="1" ht="12" customHeight="1" thickBot="1">
      <c r="A78" s="13" t="s">
        <v>331</v>
      </c>
      <c r="B78" s="537" t="s">
        <v>310</v>
      </c>
      <c r="C78" s="377">
        <f>'KV_9.1.1.sz.mell'!C76+'KV_9.2.1.sz.mell'!C39+'KV_9.3.1.sz.mell'!C38+'KV_9.4.1.sz.mell'!C38+'KV_9.5.1.sz.mell'!C38</f>
        <v>368639357</v>
      </c>
    </row>
    <row r="79" spans="1:3" s="388" customFormat="1" ht="12" customHeight="1" thickBot="1">
      <c r="A79" s="538" t="s">
        <v>332</v>
      </c>
      <c r="B79" s="539" t="s">
        <v>311</v>
      </c>
      <c r="C79" s="540"/>
    </row>
    <row r="80" spans="1:3" s="388" customFormat="1" ht="12" customHeight="1" thickBot="1">
      <c r="A80" s="436" t="s">
        <v>312</v>
      </c>
      <c r="B80" s="267" t="s">
        <v>313</v>
      </c>
      <c r="C80" s="272">
        <f>SUM(C81:C83)</f>
        <v>0</v>
      </c>
    </row>
    <row r="81" spans="1:3" s="388" customFormat="1" ht="12" customHeight="1">
      <c r="A81" s="15" t="s">
        <v>333</v>
      </c>
      <c r="B81" s="389" t="s">
        <v>314</v>
      </c>
      <c r="C81" s="277">
        <f>'KV_9.1.1.sz.mell'!C79</f>
        <v>0</v>
      </c>
    </row>
    <row r="82" spans="1:3" s="388" customFormat="1" ht="12" customHeight="1">
      <c r="A82" s="14" t="s">
        <v>334</v>
      </c>
      <c r="B82" s="390" t="s">
        <v>315</v>
      </c>
      <c r="C82" s="277"/>
    </row>
    <row r="83" spans="1:3" s="388" customFormat="1" ht="12" customHeight="1" thickBot="1">
      <c r="A83" s="18" t="s">
        <v>335</v>
      </c>
      <c r="B83" s="541" t="s">
        <v>561</v>
      </c>
      <c r="C83" s="542"/>
    </row>
    <row r="84" spans="1:3" s="388" customFormat="1" ht="12" customHeight="1" thickBot="1">
      <c r="A84" s="436" t="s">
        <v>316</v>
      </c>
      <c r="B84" s="267" t="s">
        <v>336</v>
      </c>
      <c r="C84" s="272">
        <f>SUM(C85:C88)</f>
        <v>0</v>
      </c>
    </row>
    <row r="85" spans="1:3" s="388" customFormat="1" ht="12" customHeight="1">
      <c r="A85" s="393" t="s">
        <v>317</v>
      </c>
      <c r="B85" s="389" t="s">
        <v>318</v>
      </c>
      <c r="C85" s="277"/>
    </row>
    <row r="86" spans="1:3" s="388" customFormat="1" ht="12" customHeight="1">
      <c r="A86" s="394" t="s">
        <v>319</v>
      </c>
      <c r="B86" s="390" t="s">
        <v>320</v>
      </c>
      <c r="C86" s="277"/>
    </row>
    <row r="87" spans="1:3" s="388" customFormat="1" ht="12" customHeight="1">
      <c r="A87" s="394" t="s">
        <v>321</v>
      </c>
      <c r="B87" s="390" t="s">
        <v>322</v>
      </c>
      <c r="C87" s="277"/>
    </row>
    <row r="88" spans="1:3" s="388" customFormat="1" ht="12" customHeight="1" thickBot="1">
      <c r="A88" s="395" t="s">
        <v>323</v>
      </c>
      <c r="B88" s="269" t="s">
        <v>324</v>
      </c>
      <c r="C88" s="277"/>
    </row>
    <row r="89" spans="1:3" s="388" customFormat="1" ht="12" customHeight="1" thickBot="1">
      <c r="A89" s="436" t="s">
        <v>325</v>
      </c>
      <c r="B89" s="267" t="s">
        <v>466</v>
      </c>
      <c r="C89" s="434"/>
    </row>
    <row r="90" spans="1:3" s="388" customFormat="1" ht="13.5" customHeight="1" thickBot="1">
      <c r="A90" s="436" t="s">
        <v>327</v>
      </c>
      <c r="B90" s="267" t="s">
        <v>326</v>
      </c>
      <c r="C90" s="434"/>
    </row>
    <row r="91" spans="1:3" s="388" customFormat="1" ht="15.75" customHeight="1" thickBot="1">
      <c r="A91" s="436" t="s">
        <v>339</v>
      </c>
      <c r="B91" s="396" t="s">
        <v>469</v>
      </c>
      <c r="C91" s="278">
        <f>+C68+C72+C77+C80+C84+C90+C89</f>
        <v>368639357</v>
      </c>
    </row>
    <row r="92" spans="1:3" s="388" customFormat="1" ht="16.5" customHeight="1" thickBot="1">
      <c r="A92" s="437" t="s">
        <v>468</v>
      </c>
      <c r="B92" s="397" t="s">
        <v>470</v>
      </c>
      <c r="C92" s="278">
        <f>+C67+C91</f>
        <v>1053723607</v>
      </c>
    </row>
    <row r="93" spans="1:3" s="388" customFormat="1" ht="10.5" customHeight="1">
      <c r="A93" s="5"/>
      <c r="B93" s="6"/>
      <c r="C93" s="279"/>
    </row>
    <row r="94" spans="1:3" ht="16.5" customHeight="1">
      <c r="A94" s="743" t="s">
        <v>47</v>
      </c>
      <c r="B94" s="743"/>
      <c r="C94" s="743"/>
    </row>
    <row r="95" spans="1:3" s="398" customFormat="1" ht="16.5" customHeight="1" thickBot="1">
      <c r="A95" s="740" t="s">
        <v>151</v>
      </c>
      <c r="B95" s="740"/>
      <c r="C95" s="549" t="str">
        <f>C7</f>
        <v>Forintban!</v>
      </c>
    </row>
    <row r="96" spans="1:3" ht="30" customHeight="1" thickBot="1">
      <c r="A96" s="530" t="s">
        <v>69</v>
      </c>
      <c r="B96" s="531" t="s">
        <v>48</v>
      </c>
      <c r="C96" s="532" t="str">
        <f>+C8</f>
        <v>2021. évi előirányzat</v>
      </c>
    </row>
    <row r="97" spans="1:3" s="387" customFormat="1" ht="12" customHeight="1" thickBot="1">
      <c r="A97" s="530"/>
      <c r="B97" s="531" t="s">
        <v>484</v>
      </c>
      <c r="C97" s="532" t="s">
        <v>485</v>
      </c>
    </row>
    <row r="98" spans="1:3" ht="12" customHeight="1" thickBot="1">
      <c r="A98" s="22" t="s">
        <v>18</v>
      </c>
      <c r="B98" s="28" t="s">
        <v>428</v>
      </c>
      <c r="C98" s="271">
        <f>C99+C100+C101+C102+C103+C116</f>
        <v>1672248580</v>
      </c>
    </row>
    <row r="99" spans="1:3" ht="12" customHeight="1">
      <c r="A99" s="17" t="s">
        <v>98</v>
      </c>
      <c r="B99" s="10" t="s">
        <v>49</v>
      </c>
      <c r="C99" s="273">
        <f>'KV_9.1.1.sz.mell'!C94+'KV_9.2.1.sz.mell'!C47+'KV_9.3.1.sz.mell'!C46+'KV_9.4.1.sz.mell'!C46+'KV_9.5.1.sz.mell'!C46</f>
        <v>718770251</v>
      </c>
    </row>
    <row r="100" spans="1:3" ht="12" customHeight="1">
      <c r="A100" s="14" t="s">
        <v>99</v>
      </c>
      <c r="B100" s="8" t="s">
        <v>181</v>
      </c>
      <c r="C100" s="274">
        <f>'KV_9.1.1.sz.mell'!C95+'KV_9.2.1.sz.mell'!C48+'KV_9.3.1.sz.mell'!C47+'KV_9.4.1.sz.mell'!C47+'KV_9.5.1.sz.mell'!C47</f>
        <v>114113646</v>
      </c>
    </row>
    <row r="101" spans="1:3" ht="12" customHeight="1">
      <c r="A101" s="14" t="s">
        <v>100</v>
      </c>
      <c r="B101" s="8" t="s">
        <v>138</v>
      </c>
      <c r="C101" s="274">
        <f>'KV_9.1.1.sz.mell'!C96+'KV_9.2.1.sz.mell'!C49+'KV_9.3.1.sz.mell'!C48+'KV_9.4.1.sz.mell'!C48+'KV_9.5.1.sz.mell'!C48</f>
        <v>385420287</v>
      </c>
    </row>
    <row r="102" spans="1:3" ht="12" customHeight="1">
      <c r="A102" s="14" t="s">
        <v>101</v>
      </c>
      <c r="B102" s="11" t="s">
        <v>182</v>
      </c>
      <c r="C102" s="274">
        <f>'KV_9.1.1.sz.mell'!C97+'KV_9.2.1.sz.mell'!C50+'KV_9.3.1.sz.mell'!C49+'KV_9.4.1.sz.mell'!C49+'KV_9.5.1.sz.mell'!C49</f>
        <v>8100000</v>
      </c>
    </row>
    <row r="103" spans="1:3" ht="12" customHeight="1">
      <c r="A103" s="14" t="s">
        <v>112</v>
      </c>
      <c r="B103" s="19" t="s">
        <v>183</v>
      </c>
      <c r="C103" s="275">
        <f>'KV_9.1.1.sz.mell'!C98+'KV_9.2.1.sz.mell'!C51+'KV_9.3.1.sz.mell'!C50+'KV_9.4.1.sz.mell'!C50+'KV_9.5.1.sz.mell'!C50</f>
        <v>269342542</v>
      </c>
    </row>
    <row r="104" spans="1:3" ht="12" customHeight="1">
      <c r="A104" s="14" t="s">
        <v>102</v>
      </c>
      <c r="B104" s="8" t="s">
        <v>433</v>
      </c>
      <c r="C104" s="276">
        <f>'KV_9.1.1.sz.mell'!C99</f>
        <v>0</v>
      </c>
    </row>
    <row r="105" spans="1:3" ht="12" customHeight="1">
      <c r="A105" s="14" t="s">
        <v>103</v>
      </c>
      <c r="B105" s="139" t="s">
        <v>432</v>
      </c>
      <c r="C105" s="276">
        <f>'KV_9.1.1.sz.mell'!C100</f>
        <v>75942023</v>
      </c>
    </row>
    <row r="106" spans="1:3" ht="12" customHeight="1">
      <c r="A106" s="14" t="s">
        <v>113</v>
      </c>
      <c r="B106" s="139" t="s">
        <v>431</v>
      </c>
      <c r="C106" s="276">
        <f>'KV_9.1.1.sz.mell'!C101</f>
        <v>0</v>
      </c>
    </row>
    <row r="107" spans="1:3" ht="12" customHeight="1">
      <c r="A107" s="14" t="s">
        <v>114</v>
      </c>
      <c r="B107" s="137" t="s">
        <v>342</v>
      </c>
      <c r="C107" s="276">
        <f>'KV_9.1.1.sz.mell'!C102</f>
        <v>0</v>
      </c>
    </row>
    <row r="108" spans="1:3" ht="12" customHeight="1">
      <c r="A108" s="14" t="s">
        <v>115</v>
      </c>
      <c r="B108" s="138" t="s">
        <v>343</v>
      </c>
      <c r="C108" s="276">
        <f>'KV_9.1.1.sz.mell'!C103</f>
        <v>0</v>
      </c>
    </row>
    <row r="109" spans="1:3" ht="12" customHeight="1">
      <c r="A109" s="14" t="s">
        <v>116</v>
      </c>
      <c r="B109" s="138" t="s">
        <v>344</v>
      </c>
      <c r="C109" s="276">
        <f>'KV_9.1.1.sz.mell'!C104</f>
        <v>0</v>
      </c>
    </row>
    <row r="110" spans="1:3" ht="12" customHeight="1">
      <c r="A110" s="14" t="s">
        <v>118</v>
      </c>
      <c r="B110" s="137" t="s">
        <v>345</v>
      </c>
      <c r="C110" s="276">
        <f>'KV_9.1.1.sz.mell'!C105</f>
        <v>350000</v>
      </c>
    </row>
    <row r="111" spans="1:3" ht="12" customHeight="1">
      <c r="A111" s="14" t="s">
        <v>184</v>
      </c>
      <c r="B111" s="137" t="s">
        <v>346</v>
      </c>
      <c r="C111" s="276">
        <f>'KV_9.1.1.sz.mell'!C106</f>
        <v>0</v>
      </c>
    </row>
    <row r="112" spans="1:3" ht="12" customHeight="1">
      <c r="A112" s="14" t="s">
        <v>340</v>
      </c>
      <c r="B112" s="138" t="s">
        <v>347</v>
      </c>
      <c r="C112" s="276">
        <f>'KV_9.1.1.sz.mell'!C107</f>
        <v>0</v>
      </c>
    </row>
    <row r="113" spans="1:3" ht="12" customHeight="1">
      <c r="A113" s="13" t="s">
        <v>341</v>
      </c>
      <c r="B113" s="139" t="s">
        <v>348</v>
      </c>
      <c r="C113" s="276">
        <f>'KV_9.1.1.sz.mell'!C108</f>
        <v>0</v>
      </c>
    </row>
    <row r="114" spans="1:3" ht="12" customHeight="1">
      <c r="A114" s="14" t="s">
        <v>429</v>
      </c>
      <c r="B114" s="139" t="s">
        <v>349</v>
      </c>
      <c r="C114" s="276">
        <f>'KV_9.1.1.sz.mell'!C109</f>
        <v>0</v>
      </c>
    </row>
    <row r="115" spans="1:3" ht="12" customHeight="1">
      <c r="A115" s="16" t="s">
        <v>430</v>
      </c>
      <c r="B115" s="139" t="s">
        <v>350</v>
      </c>
      <c r="C115" s="276">
        <f>'KV_9.1.1.sz.mell'!C110</f>
        <v>193050519</v>
      </c>
    </row>
    <row r="116" spans="1:3" ht="12" customHeight="1">
      <c r="A116" s="14" t="s">
        <v>434</v>
      </c>
      <c r="B116" s="11" t="s">
        <v>50</v>
      </c>
      <c r="C116" s="274">
        <f>'KV_9.1.1.sz.mell'!C111</f>
        <v>176501854</v>
      </c>
    </row>
    <row r="117" spans="1:3" ht="12" customHeight="1">
      <c r="A117" s="14" t="s">
        <v>435</v>
      </c>
      <c r="B117" s="8" t="s">
        <v>437</v>
      </c>
      <c r="C117" s="274">
        <f>'KV_9.1.1.sz.mell'!C112</f>
        <v>0</v>
      </c>
    </row>
    <row r="118" spans="1:3" ht="12" customHeight="1" thickBot="1">
      <c r="A118" s="18" t="s">
        <v>436</v>
      </c>
      <c r="B118" s="458" t="s">
        <v>438</v>
      </c>
      <c r="C118" s="274">
        <f>'KV_9.1.1.sz.mell'!C113</f>
        <v>176501854</v>
      </c>
    </row>
    <row r="119" spans="1:3" ht="12" customHeight="1" thickBot="1">
      <c r="A119" s="455" t="s">
        <v>19</v>
      </c>
      <c r="B119" s="456" t="s">
        <v>351</v>
      </c>
      <c r="C119" s="457">
        <f>+C120+C122+C124</f>
        <v>334060673</v>
      </c>
    </row>
    <row r="120" spans="1:3" ht="12" customHeight="1">
      <c r="A120" s="15" t="s">
        <v>104</v>
      </c>
      <c r="B120" s="8" t="s">
        <v>223</v>
      </c>
      <c r="C120" s="275">
        <f>'KV_9.1.1.sz.mell'!C115+'KV_9.2.1.sz.mell'!C53+'KV_9.3.1.sz.mell'!C52+'KV_9.4.1.sz.mell'!C52+'KV_9.5.1.sz.mell'!C52</f>
        <v>167221287</v>
      </c>
    </row>
    <row r="121" spans="1:3" ht="12" customHeight="1">
      <c r="A121" s="15" t="s">
        <v>105</v>
      </c>
      <c r="B121" s="12" t="s">
        <v>355</v>
      </c>
      <c r="C121" s="275">
        <f>'KV_9.1.1.sz.mell'!C116</f>
        <v>0</v>
      </c>
    </row>
    <row r="122" spans="1:3" ht="12" customHeight="1">
      <c r="A122" s="15" t="s">
        <v>106</v>
      </c>
      <c r="B122" s="12" t="s">
        <v>185</v>
      </c>
      <c r="C122" s="274">
        <f>'KV_9.1.1.sz.mell'!C117+'KV_9.2.1.sz.mell'!C54+'KV_9.3.1.sz.mell'!C53+'KV_9.4.1.sz.mell'!C53+'KV_9.5.1.sz.mell'!C53</f>
        <v>166839386</v>
      </c>
    </row>
    <row r="123" spans="1:3" ht="12" customHeight="1">
      <c r="A123" s="15" t="s">
        <v>107</v>
      </c>
      <c r="B123" s="12" t="s">
        <v>356</v>
      </c>
      <c r="C123" s="240">
        <f>'KV_9.1.1.sz.mell'!C118</f>
        <v>63310137</v>
      </c>
    </row>
    <row r="124" spans="1:3" ht="12" customHeight="1">
      <c r="A124" s="15" t="s">
        <v>108</v>
      </c>
      <c r="B124" s="269" t="s">
        <v>563</v>
      </c>
      <c r="C124" s="240">
        <f>'KV_9.1.1.sz.mell'!C119</f>
        <v>0</v>
      </c>
    </row>
    <row r="125" spans="1:3" ht="12" customHeight="1">
      <c r="A125" s="15" t="s">
        <v>117</v>
      </c>
      <c r="B125" s="268" t="s">
        <v>419</v>
      </c>
      <c r="C125" s="240">
        <f>'KV_9.1.1.sz.mell'!C120</f>
        <v>0</v>
      </c>
    </row>
    <row r="126" spans="1:3" ht="12" customHeight="1">
      <c r="A126" s="15" t="s">
        <v>119</v>
      </c>
      <c r="B126" s="385" t="s">
        <v>361</v>
      </c>
      <c r="C126" s="240">
        <f>'KV_9.1.1.sz.mell'!C121</f>
        <v>0</v>
      </c>
    </row>
    <row r="127" spans="1:3" ht="15.75">
      <c r="A127" s="15" t="s">
        <v>186</v>
      </c>
      <c r="B127" s="138" t="s">
        <v>344</v>
      </c>
      <c r="C127" s="240">
        <f>'KV_9.1.1.sz.mell'!C122</f>
        <v>0</v>
      </c>
    </row>
    <row r="128" spans="1:3" ht="12" customHeight="1">
      <c r="A128" s="15" t="s">
        <v>187</v>
      </c>
      <c r="B128" s="138" t="s">
        <v>360</v>
      </c>
      <c r="C128" s="240">
        <f>'KV_9.1.1.sz.mell'!C123</f>
        <v>0</v>
      </c>
    </row>
    <row r="129" spans="1:3" ht="12" customHeight="1">
      <c r="A129" s="15" t="s">
        <v>188</v>
      </c>
      <c r="B129" s="138" t="s">
        <v>359</v>
      </c>
      <c r="C129" s="240">
        <f>'KV_9.1.1.sz.mell'!C124</f>
        <v>0</v>
      </c>
    </row>
    <row r="130" spans="1:3" ht="12" customHeight="1">
      <c r="A130" s="15" t="s">
        <v>352</v>
      </c>
      <c r="B130" s="138" t="s">
        <v>347</v>
      </c>
      <c r="C130" s="240">
        <f>'KV_9.1.1.sz.mell'!C125</f>
        <v>0</v>
      </c>
    </row>
    <row r="131" spans="1:3" ht="12" customHeight="1">
      <c r="A131" s="15" t="s">
        <v>353</v>
      </c>
      <c r="B131" s="138" t="s">
        <v>358</v>
      </c>
      <c r="C131" s="240">
        <f>'KV_9.1.1.sz.mell'!C126</f>
        <v>0</v>
      </c>
    </row>
    <row r="132" spans="1:3" ht="16.5" thickBot="1">
      <c r="A132" s="13" t="s">
        <v>354</v>
      </c>
      <c r="B132" s="138" t="s">
        <v>357</v>
      </c>
      <c r="C132" s="240">
        <f>'KV_9.1.1.sz.mell'!C127</f>
        <v>0</v>
      </c>
    </row>
    <row r="133" spans="1:3" ht="12" customHeight="1" thickBot="1">
      <c r="A133" s="20" t="s">
        <v>20</v>
      </c>
      <c r="B133" s="119" t="s">
        <v>439</v>
      </c>
      <c r="C133" s="272">
        <f>+C98+C119</f>
        <v>2006309253</v>
      </c>
    </row>
    <row r="134" spans="1:3" ht="12" customHeight="1" thickBot="1">
      <c r="A134" s="20" t="s">
        <v>21</v>
      </c>
      <c r="B134" s="119" t="s">
        <v>440</v>
      </c>
      <c r="C134" s="272">
        <f>+C135+C136+C137</f>
        <v>0</v>
      </c>
    </row>
    <row r="135" spans="1:3" ht="12" customHeight="1">
      <c r="A135" s="15" t="s">
        <v>261</v>
      </c>
      <c r="B135" s="12" t="s">
        <v>447</v>
      </c>
      <c r="C135" s="240">
        <f>'KV_9.1.1.sz.mell'!C130</f>
        <v>0</v>
      </c>
    </row>
    <row r="136" spans="1:3" ht="12" customHeight="1">
      <c r="A136" s="15" t="s">
        <v>262</v>
      </c>
      <c r="B136" s="12" t="s">
        <v>448</v>
      </c>
      <c r="C136" s="240">
        <f>'KV_9.1.1.sz.mell'!C131</f>
        <v>0</v>
      </c>
    </row>
    <row r="137" spans="1:3" ht="12" customHeight="1" thickBot="1">
      <c r="A137" s="13" t="s">
        <v>263</v>
      </c>
      <c r="B137" s="12" t="s">
        <v>449</v>
      </c>
      <c r="C137" s="240">
        <f>'KV_9.1.1.sz.mell'!C132</f>
        <v>0</v>
      </c>
    </row>
    <row r="138" spans="1:3" ht="12" customHeight="1" thickBot="1">
      <c r="A138" s="20" t="s">
        <v>22</v>
      </c>
      <c r="B138" s="119" t="s">
        <v>441</v>
      </c>
      <c r="C138" s="272">
        <f>SUM(C139:C144)</f>
        <v>0</v>
      </c>
    </row>
    <row r="139" spans="1:3" ht="12" customHeight="1">
      <c r="A139" s="15" t="s">
        <v>91</v>
      </c>
      <c r="B139" s="9" t="s">
        <v>450</v>
      </c>
      <c r="C139" s="240">
        <f>'KV_9.1.1.sz.mell'!C134</f>
        <v>0</v>
      </c>
    </row>
    <row r="140" spans="1:3" ht="12" customHeight="1">
      <c r="A140" s="15" t="s">
        <v>92</v>
      </c>
      <c r="B140" s="9" t="s">
        <v>442</v>
      </c>
      <c r="C140" s="240">
        <f>'KV_9.1.1.sz.mell'!C135</f>
        <v>0</v>
      </c>
    </row>
    <row r="141" spans="1:3" ht="12" customHeight="1">
      <c r="A141" s="15" t="s">
        <v>93</v>
      </c>
      <c r="B141" s="9" t="s">
        <v>443</v>
      </c>
      <c r="C141" s="240">
        <f>'KV_9.1.1.sz.mell'!C136</f>
        <v>0</v>
      </c>
    </row>
    <row r="142" spans="1:3" ht="12" customHeight="1">
      <c r="A142" s="15" t="s">
        <v>173</v>
      </c>
      <c r="B142" s="9" t="s">
        <v>444</v>
      </c>
      <c r="C142" s="240">
        <f>'KV_9.1.1.sz.mell'!C137</f>
        <v>0</v>
      </c>
    </row>
    <row r="143" spans="1:3" ht="12" customHeight="1">
      <c r="A143" s="13" t="s">
        <v>174</v>
      </c>
      <c r="B143" s="7" t="s">
        <v>445</v>
      </c>
      <c r="C143" s="240">
        <f>'KV_9.1.1.sz.mell'!C138</f>
        <v>0</v>
      </c>
    </row>
    <row r="144" spans="1:3" ht="12" customHeight="1" thickBot="1">
      <c r="A144" s="18" t="s">
        <v>175</v>
      </c>
      <c r="B144" s="688" t="s">
        <v>446</v>
      </c>
      <c r="C144" s="240">
        <f>'KV_9.1.1.sz.mell'!C139</f>
        <v>0</v>
      </c>
    </row>
    <row r="145" spans="1:3" ht="12" customHeight="1" thickBot="1">
      <c r="A145" s="20" t="s">
        <v>23</v>
      </c>
      <c r="B145" s="119" t="s">
        <v>454</v>
      </c>
      <c r="C145" s="278">
        <f>+C146+C147+C148+C149</f>
        <v>19897658</v>
      </c>
    </row>
    <row r="146" spans="1:3" ht="12" customHeight="1">
      <c r="A146" s="15" t="s">
        <v>94</v>
      </c>
      <c r="B146" s="9" t="s">
        <v>362</v>
      </c>
      <c r="C146" s="240">
        <f>'KV_9.1.1.sz.mell'!C141</f>
        <v>0</v>
      </c>
    </row>
    <row r="147" spans="1:3" ht="12" customHeight="1">
      <c r="A147" s="15" t="s">
        <v>95</v>
      </c>
      <c r="B147" s="9" t="s">
        <v>363</v>
      </c>
      <c r="C147" s="240">
        <f>'KV_9.1.1.sz.mell'!C142</f>
        <v>19897658</v>
      </c>
    </row>
    <row r="148" spans="1:3" ht="12" customHeight="1" thickBot="1">
      <c r="A148" s="13" t="s">
        <v>279</v>
      </c>
      <c r="B148" s="7" t="s">
        <v>455</v>
      </c>
      <c r="C148" s="240">
        <f>'KV_9.1.1.sz.mell'!C144</f>
        <v>0</v>
      </c>
    </row>
    <row r="149" spans="1:3" ht="12" customHeight="1" thickBot="1">
      <c r="A149" s="538" t="s">
        <v>280</v>
      </c>
      <c r="B149" s="543" t="s">
        <v>381</v>
      </c>
      <c r="C149" s="544"/>
    </row>
    <row r="150" spans="1:3" ht="12" customHeight="1" thickBot="1">
      <c r="A150" s="20" t="s">
        <v>24</v>
      </c>
      <c r="B150" s="119" t="s">
        <v>456</v>
      </c>
      <c r="C150" s="281">
        <f>SUM(C151:C155)</f>
        <v>0</v>
      </c>
    </row>
    <row r="151" spans="1:3" ht="12" customHeight="1">
      <c r="A151" s="15" t="s">
        <v>96</v>
      </c>
      <c r="B151" s="9" t="s">
        <v>451</v>
      </c>
      <c r="C151" s="240"/>
    </row>
    <row r="152" spans="1:3" ht="12" customHeight="1">
      <c r="A152" s="15" t="s">
        <v>97</v>
      </c>
      <c r="B152" s="9" t="s">
        <v>458</v>
      </c>
      <c r="C152" s="240"/>
    </row>
    <row r="153" spans="1:3" ht="12" customHeight="1">
      <c r="A153" s="15" t="s">
        <v>291</v>
      </c>
      <c r="B153" s="9" t="s">
        <v>453</v>
      </c>
      <c r="C153" s="240"/>
    </row>
    <row r="154" spans="1:3" ht="12" customHeight="1">
      <c r="A154" s="15" t="s">
        <v>292</v>
      </c>
      <c r="B154" s="9" t="s">
        <v>509</v>
      </c>
      <c r="C154" s="240"/>
    </row>
    <row r="155" spans="1:3" ht="12" customHeight="1" thickBot="1">
      <c r="A155" s="15" t="s">
        <v>457</v>
      </c>
      <c r="B155" s="9" t="s">
        <v>460</v>
      </c>
      <c r="C155" s="240"/>
    </row>
    <row r="156" spans="1:3" ht="12" customHeight="1" thickBot="1">
      <c r="A156" s="20" t="s">
        <v>25</v>
      </c>
      <c r="B156" s="119" t="s">
        <v>461</v>
      </c>
      <c r="C156" s="459"/>
    </row>
    <row r="157" spans="1:3" ht="12" customHeight="1" thickBot="1">
      <c r="A157" s="20" t="s">
        <v>26</v>
      </c>
      <c r="B157" s="119" t="s">
        <v>462</v>
      </c>
      <c r="C157" s="459"/>
    </row>
    <row r="158" spans="1:9" ht="15" customHeight="1" thickBot="1">
      <c r="A158" s="20" t="s">
        <v>27</v>
      </c>
      <c r="B158" s="119" t="s">
        <v>464</v>
      </c>
      <c r="C158" s="545">
        <f>+C134+C138+C145+C150+C156+C157</f>
        <v>19897658</v>
      </c>
      <c r="F158" s="400"/>
      <c r="G158" s="401"/>
      <c r="H158" s="401"/>
      <c r="I158" s="401"/>
    </row>
    <row r="159" spans="1:3" s="388" customFormat="1" ht="17.25" customHeight="1" thickBot="1">
      <c r="A159" s="270" t="s">
        <v>28</v>
      </c>
      <c r="B159" s="546" t="s">
        <v>463</v>
      </c>
      <c r="C159" s="545">
        <f>+C133+C158</f>
        <v>2026206911</v>
      </c>
    </row>
    <row r="160" spans="1:3" ht="15.75" customHeight="1">
      <c r="A160" s="547"/>
      <c r="B160" s="547"/>
      <c r="C160" s="605"/>
    </row>
    <row r="161" spans="1:3" ht="15.75">
      <c r="A161" s="741" t="s">
        <v>364</v>
      </c>
      <c r="B161" s="741"/>
      <c r="C161" s="741"/>
    </row>
    <row r="162" spans="1:3" ht="15" customHeight="1" thickBot="1">
      <c r="A162" s="742" t="s">
        <v>152</v>
      </c>
      <c r="B162" s="742"/>
      <c r="C162" s="550" t="str">
        <f>C95</f>
        <v>Forintban!</v>
      </c>
    </row>
    <row r="163" spans="1:4" ht="13.5" customHeight="1" thickBot="1">
      <c r="A163" s="20">
        <v>1</v>
      </c>
      <c r="B163" s="27" t="s">
        <v>465</v>
      </c>
      <c r="C163" s="272">
        <f>+C67-C133</f>
        <v>-1321225003</v>
      </c>
      <c r="D163" s="402"/>
    </row>
    <row r="164" spans="1:3" ht="27.75" customHeight="1" thickBot="1">
      <c r="A164" s="20" t="s">
        <v>19</v>
      </c>
      <c r="B164" s="27" t="s">
        <v>471</v>
      </c>
      <c r="C164" s="272">
        <f>+C91-C158</f>
        <v>348741699</v>
      </c>
    </row>
  </sheetData>
  <sheetProtection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164"/>
  <sheetViews>
    <sheetView zoomScale="120" zoomScaleNormal="120" zoomScaleSheetLayoutView="100" workbookViewId="0" topLeftCell="A129">
      <selection activeCell="E161" sqref="E161"/>
    </sheetView>
  </sheetViews>
  <sheetFormatPr defaultColWidth="9.00390625" defaultRowHeight="12.75"/>
  <cols>
    <col min="1" max="1" width="9.50390625" style="355" customWidth="1"/>
    <col min="2" max="2" width="99.375" style="355" customWidth="1"/>
    <col min="3" max="3" width="21.625" style="356" customWidth="1"/>
    <col min="4" max="4" width="9.00390625" style="386" customWidth="1"/>
    <col min="5" max="16384" width="9.375" style="386" customWidth="1"/>
  </cols>
  <sheetData>
    <row r="1" spans="1:3" ht="18.75" customHeight="1">
      <c r="A1" s="596"/>
      <c r="B1" s="736" t="str">
        <f>CONCATENATE("1.3. melléklet ",ALAPADATOK!A7," ",ALAPADATOK!B7," ",ALAPADATOK!C7," ",ALAPADATOK!D7," ",ALAPADATOK!E7," ",ALAPADATOK!F7," ",ALAPADATOK!G7," ",ALAPADATOK!H7)</f>
        <v>1.3. melléklet a … / 2021 ( … ) önkormányzati rendelethez</v>
      </c>
      <c r="C1" s="737"/>
    </row>
    <row r="2" spans="1:3" ht="21.75" customHeight="1">
      <c r="A2" s="597"/>
      <c r="B2" s="598" t="str">
        <f>CONCATENATE(ALAPADATOK!A3)</f>
        <v>SOLYMÁR NAGYKÖZSÉG ÖNKORMÁNYZATA</v>
      </c>
      <c r="C2" s="599"/>
    </row>
    <row r="3" spans="1:3" ht="21.75" customHeight="1">
      <c r="A3" s="599"/>
      <c r="B3" s="598" t="str">
        <f>'KV_1.2.sz.mell.'!B3</f>
        <v>2021. ÉVI KÖLTSÉGVETÉS</v>
      </c>
      <c r="C3" s="599"/>
    </row>
    <row r="4" spans="1:3" ht="21.75" customHeight="1">
      <c r="A4" s="599"/>
      <c r="B4" s="598" t="s">
        <v>569</v>
      </c>
      <c r="C4" s="599"/>
    </row>
    <row r="5" spans="1:3" ht="21.75" customHeight="1">
      <c r="A5" s="596"/>
      <c r="B5" s="596"/>
      <c r="C5" s="600"/>
    </row>
    <row r="6" spans="1:3" ht="15" customHeight="1">
      <c r="A6" s="738" t="s">
        <v>15</v>
      </c>
      <c r="B6" s="738"/>
      <c r="C6" s="738"/>
    </row>
    <row r="7" spans="1:3" ht="15" customHeight="1" thickBot="1">
      <c r="A7" s="739" t="s">
        <v>150</v>
      </c>
      <c r="B7" s="739"/>
      <c r="C7" s="548" t="str">
        <f>CONCATENATE('KV_1.1.sz.mell.'!C7)</f>
        <v>Forintban!</v>
      </c>
    </row>
    <row r="8" spans="1:3" ht="24" customHeight="1" thickBot="1">
      <c r="A8" s="601" t="s">
        <v>69</v>
      </c>
      <c r="B8" s="602" t="s">
        <v>17</v>
      </c>
      <c r="C8" s="603" t="str">
        <f>+CONCATENATE(LEFT(KV_ÖSSZEFÜGGÉSEK!A5,4),". évi előirányzat")</f>
        <v>2021. évi előirányzat</v>
      </c>
    </row>
    <row r="9" spans="1:3" s="387" customFormat="1" ht="12" customHeight="1" thickBot="1">
      <c r="A9" s="533"/>
      <c r="B9" s="534" t="s">
        <v>484</v>
      </c>
      <c r="C9" s="535" t="s">
        <v>485</v>
      </c>
    </row>
    <row r="10" spans="1:3" s="388" customFormat="1" ht="12" customHeight="1" thickBot="1">
      <c r="A10" s="20" t="s">
        <v>18</v>
      </c>
      <c r="B10" s="21" t="s">
        <v>245</v>
      </c>
      <c r="C10" s="272">
        <f>+C11+C12+C13+C14+C15+C16</f>
        <v>0</v>
      </c>
    </row>
    <row r="11" spans="1:3" s="388" customFormat="1" ht="12" customHeight="1">
      <c r="A11" s="15" t="s">
        <v>98</v>
      </c>
      <c r="B11" s="389" t="s">
        <v>246</v>
      </c>
      <c r="C11" s="275"/>
    </row>
    <row r="12" spans="1:3" s="388" customFormat="1" ht="12" customHeight="1">
      <c r="A12" s="14" t="s">
        <v>99</v>
      </c>
      <c r="B12" s="390" t="s">
        <v>247</v>
      </c>
      <c r="C12" s="274"/>
    </row>
    <row r="13" spans="1:3" s="388" customFormat="1" ht="12" customHeight="1">
      <c r="A13" s="14" t="s">
        <v>100</v>
      </c>
      <c r="B13" s="390" t="s">
        <v>541</v>
      </c>
      <c r="C13" s="274"/>
    </row>
    <row r="14" spans="1:3" s="388" customFormat="1" ht="12" customHeight="1">
      <c r="A14" s="14" t="s">
        <v>101</v>
      </c>
      <c r="B14" s="390" t="s">
        <v>249</v>
      </c>
      <c r="C14" s="274"/>
    </row>
    <row r="15" spans="1:3" s="388" customFormat="1" ht="12" customHeight="1">
      <c r="A15" s="14" t="s">
        <v>146</v>
      </c>
      <c r="B15" s="268" t="s">
        <v>423</v>
      </c>
      <c r="C15" s="274"/>
    </row>
    <row r="16" spans="1:3" s="388" customFormat="1" ht="12" customHeight="1" thickBot="1">
      <c r="A16" s="16" t="s">
        <v>102</v>
      </c>
      <c r="B16" s="269" t="s">
        <v>424</v>
      </c>
      <c r="C16" s="274"/>
    </row>
    <row r="17" spans="1:3" s="388" customFormat="1" ht="12" customHeight="1" thickBot="1">
      <c r="A17" s="20" t="s">
        <v>19</v>
      </c>
      <c r="B17" s="267" t="s">
        <v>250</v>
      </c>
      <c r="C17" s="272">
        <f>+C18+C19+C20+C21+C22</f>
        <v>433439</v>
      </c>
    </row>
    <row r="18" spans="1:3" s="388" customFormat="1" ht="12" customHeight="1">
      <c r="A18" s="15" t="s">
        <v>104</v>
      </c>
      <c r="B18" s="389" t="s">
        <v>251</v>
      </c>
      <c r="C18" s="275"/>
    </row>
    <row r="19" spans="1:3" s="388" customFormat="1" ht="12" customHeight="1">
      <c r="A19" s="14" t="s">
        <v>105</v>
      </c>
      <c r="B19" s="390" t="s">
        <v>252</v>
      </c>
      <c r="C19" s="274"/>
    </row>
    <row r="20" spans="1:3" s="388" customFormat="1" ht="12" customHeight="1">
      <c r="A20" s="14" t="s">
        <v>106</v>
      </c>
      <c r="B20" s="390" t="s">
        <v>413</v>
      </c>
      <c r="C20" s="274"/>
    </row>
    <row r="21" spans="1:3" s="388" customFormat="1" ht="12" customHeight="1">
      <c r="A21" s="14" t="s">
        <v>107</v>
      </c>
      <c r="B21" s="390" t="s">
        <v>414</v>
      </c>
      <c r="C21" s="274"/>
    </row>
    <row r="22" spans="1:3" s="388" customFormat="1" ht="12" customHeight="1">
      <c r="A22" s="14" t="s">
        <v>108</v>
      </c>
      <c r="B22" s="390" t="s">
        <v>562</v>
      </c>
      <c r="C22" s="274">
        <f>'KV_9.1.2.sz.mell.'!C20</f>
        <v>433439</v>
      </c>
    </row>
    <row r="23" spans="1:3" s="388" customFormat="1" ht="12" customHeight="1" thickBot="1">
      <c r="A23" s="16" t="s">
        <v>117</v>
      </c>
      <c r="B23" s="269" t="s">
        <v>254</v>
      </c>
      <c r="C23" s="276"/>
    </row>
    <row r="24" spans="1:3" s="388" customFormat="1" ht="12" customHeight="1" thickBot="1">
      <c r="A24" s="20" t="s">
        <v>20</v>
      </c>
      <c r="B24" s="21" t="s">
        <v>255</v>
      </c>
      <c r="C24" s="272">
        <f>+C25+C26+C27+C28+C29</f>
        <v>0</v>
      </c>
    </row>
    <row r="25" spans="1:3" s="388" customFormat="1" ht="12" customHeight="1">
      <c r="A25" s="15" t="s">
        <v>87</v>
      </c>
      <c r="B25" s="389" t="s">
        <v>256</v>
      </c>
      <c r="C25" s="275"/>
    </row>
    <row r="26" spans="1:3" s="388" customFormat="1" ht="12" customHeight="1">
      <c r="A26" s="14" t="s">
        <v>88</v>
      </c>
      <c r="B26" s="390" t="s">
        <v>257</v>
      </c>
      <c r="C26" s="274"/>
    </row>
    <row r="27" spans="1:3" s="388" customFormat="1" ht="12" customHeight="1">
      <c r="A27" s="14" t="s">
        <v>89</v>
      </c>
      <c r="B27" s="390" t="s">
        <v>415</v>
      </c>
      <c r="C27" s="274"/>
    </row>
    <row r="28" spans="1:3" s="388" customFormat="1" ht="12" customHeight="1">
      <c r="A28" s="14" t="s">
        <v>90</v>
      </c>
      <c r="B28" s="390" t="s">
        <v>416</v>
      </c>
      <c r="C28" s="274"/>
    </row>
    <row r="29" spans="1:3" s="388" customFormat="1" ht="12" customHeight="1">
      <c r="A29" s="14" t="s">
        <v>169</v>
      </c>
      <c r="B29" s="390" t="s">
        <v>258</v>
      </c>
      <c r="C29" s="274"/>
    </row>
    <row r="30" spans="1:3" s="526" customFormat="1" ht="12" customHeight="1" thickBot="1">
      <c r="A30" s="536" t="s">
        <v>170</v>
      </c>
      <c r="B30" s="524" t="s">
        <v>557</v>
      </c>
      <c r="C30" s="525"/>
    </row>
    <row r="31" spans="1:3" s="388" customFormat="1" ht="12" customHeight="1" thickBot="1">
      <c r="A31" s="20" t="s">
        <v>171</v>
      </c>
      <c r="B31" s="21" t="s">
        <v>542</v>
      </c>
      <c r="C31" s="278">
        <f>SUM(C32:C38)</f>
        <v>0</v>
      </c>
    </row>
    <row r="32" spans="1:3" s="388" customFormat="1" ht="12" customHeight="1">
      <c r="A32" s="15" t="s">
        <v>261</v>
      </c>
      <c r="B32" s="389" t="str">
        <f>'KV_1.1.sz.mell.'!B32</f>
        <v>Építményadó</v>
      </c>
      <c r="C32" s="275"/>
    </row>
    <row r="33" spans="1:3" s="388" customFormat="1" ht="12" customHeight="1">
      <c r="A33" s="14" t="s">
        <v>262</v>
      </c>
      <c r="B33" s="389" t="str">
        <f>'KV_1.1.sz.mell.'!B33</f>
        <v>Telekadó</v>
      </c>
      <c r="C33" s="274"/>
    </row>
    <row r="34" spans="1:3" s="388" customFormat="1" ht="12" customHeight="1">
      <c r="A34" s="14" t="s">
        <v>263</v>
      </c>
      <c r="B34" s="389" t="str">
        <f>'KV_1.1.sz.mell.'!B34</f>
        <v>Iparűzési adó</v>
      </c>
      <c r="C34" s="274"/>
    </row>
    <row r="35" spans="1:3" s="388" customFormat="1" ht="12" customHeight="1">
      <c r="A35" s="14" t="s">
        <v>264</v>
      </c>
      <c r="B35" s="389" t="str">
        <f>'KV_1.1.sz.mell.'!B35</f>
        <v>Talajterhelési díj</v>
      </c>
      <c r="C35" s="274"/>
    </row>
    <row r="36" spans="1:3" s="388" customFormat="1" ht="12" customHeight="1">
      <c r="A36" s="14" t="s">
        <v>543</v>
      </c>
      <c r="B36" s="389" t="str">
        <f>'KV_1.1.sz.mell.'!B36</f>
        <v>Gépjárműadó</v>
      </c>
      <c r="C36" s="274"/>
    </row>
    <row r="37" spans="1:3" s="388" customFormat="1" ht="12" customHeight="1">
      <c r="A37" s="14" t="s">
        <v>544</v>
      </c>
      <c r="B37" s="389" t="str">
        <f>'KV_1.1.sz.mell.'!B37</f>
        <v>Adópótlék, adóbírság</v>
      </c>
      <c r="C37" s="274"/>
    </row>
    <row r="38" spans="1:3" s="388" customFormat="1" ht="12" customHeight="1" thickBot="1">
      <c r="A38" s="16" t="s">
        <v>545</v>
      </c>
      <c r="B38" s="389" t="str">
        <f>'KV_1.1.sz.mell.'!B38</f>
        <v>Egyéb  közhatalmi bevételek</v>
      </c>
      <c r="C38" s="276"/>
    </row>
    <row r="39" spans="1:3" s="388" customFormat="1" ht="12" customHeight="1" thickBot="1">
      <c r="A39" s="20" t="s">
        <v>22</v>
      </c>
      <c r="B39" s="21" t="s">
        <v>425</v>
      </c>
      <c r="C39" s="272">
        <f>SUM(C40:C50)</f>
        <v>5980000</v>
      </c>
    </row>
    <row r="40" spans="1:3" s="388" customFormat="1" ht="12" customHeight="1">
      <c r="A40" s="15" t="s">
        <v>91</v>
      </c>
      <c r="B40" s="389" t="s">
        <v>268</v>
      </c>
      <c r="C40" s="275">
        <f>'KV_9.1.2.sz.mell.'!C38+'KV_9.2.2.sz.mell'!C9+'KV_9.3.2.sz.mell'!C9+'KV_9.4.2.sz.mell'!C9+'KV_9.5.2.sz.mell'!C9</f>
        <v>0</v>
      </c>
    </row>
    <row r="41" spans="1:3" s="388" customFormat="1" ht="12" customHeight="1">
      <c r="A41" s="14" t="s">
        <v>92</v>
      </c>
      <c r="B41" s="390" t="s">
        <v>269</v>
      </c>
      <c r="C41" s="275">
        <f>'KV_9.1.2.sz.mell.'!C39+'KV_9.2.2.sz.mell'!C10+'KV_9.3.2.sz.mell'!C10+'KV_9.4.2.sz.mell'!C10+'KV_9.5.2.sz.mell'!C10</f>
        <v>5950000</v>
      </c>
    </row>
    <row r="42" spans="1:3" s="388" customFormat="1" ht="12" customHeight="1">
      <c r="A42" s="14" t="s">
        <v>93</v>
      </c>
      <c r="B42" s="390" t="s">
        <v>270</v>
      </c>
      <c r="C42" s="275">
        <f>'KV_9.1.2.sz.mell.'!C40+'KV_9.2.2.sz.mell'!C11+'KV_9.3.2.sz.mell'!C11+'KV_9.4.2.sz.mell'!C11+'KV_9.5.2.sz.mell'!C11</f>
        <v>0</v>
      </c>
    </row>
    <row r="43" spans="1:3" s="388" customFormat="1" ht="12" customHeight="1">
      <c r="A43" s="14" t="s">
        <v>173</v>
      </c>
      <c r="B43" s="390" t="s">
        <v>271</v>
      </c>
      <c r="C43" s="275">
        <f>'KV_9.1.2.sz.mell.'!C41+'KV_9.2.2.sz.mell'!C12+'KV_9.3.2.sz.mell'!C12+'KV_9.4.2.sz.mell'!C12+'KV_9.5.2.sz.mell'!C12</f>
        <v>0</v>
      </c>
    </row>
    <row r="44" spans="1:3" s="388" customFormat="1" ht="12" customHeight="1">
      <c r="A44" s="14" t="s">
        <v>174</v>
      </c>
      <c r="B44" s="390" t="s">
        <v>272</v>
      </c>
      <c r="C44" s="275">
        <f>'KV_9.1.2.sz.mell.'!C42+'KV_9.2.2.sz.mell'!C13+'KV_9.3.2.sz.mell'!C13+'KV_9.4.2.sz.mell'!C13+'KV_9.5.2.sz.mell'!C13</f>
        <v>0</v>
      </c>
    </row>
    <row r="45" spans="1:3" s="388" customFormat="1" ht="12" customHeight="1">
      <c r="A45" s="14" t="s">
        <v>175</v>
      </c>
      <c r="B45" s="390" t="s">
        <v>273</v>
      </c>
      <c r="C45" s="275">
        <f>'KV_9.1.2.sz.mell.'!C43+'KV_9.2.2.sz.mell'!C14+'KV_9.3.2.sz.mell'!C14+'KV_9.4.2.sz.mell'!C14+'KV_9.5.2.sz.mell'!C14</f>
        <v>0</v>
      </c>
    </row>
    <row r="46" spans="1:3" s="388" customFormat="1" ht="12" customHeight="1">
      <c r="A46" s="14" t="s">
        <v>176</v>
      </c>
      <c r="B46" s="390" t="s">
        <v>274</v>
      </c>
      <c r="C46" s="275">
        <f>'KV_9.1.2.sz.mell.'!C44+'KV_9.2.2.sz.mell'!C15+'KV_9.3.2.sz.mell'!C15+'KV_9.4.2.sz.mell'!C15+'KV_9.5.2.sz.mell'!C15</f>
        <v>0</v>
      </c>
    </row>
    <row r="47" spans="1:3" s="388" customFormat="1" ht="12" customHeight="1">
      <c r="A47" s="14" t="s">
        <v>177</v>
      </c>
      <c r="B47" s="390" t="s">
        <v>549</v>
      </c>
      <c r="C47" s="275">
        <f>'KV_9.1.2.sz.mell.'!C45+'KV_9.2.2.sz.mell'!C16+'KV_9.3.2.sz.mell'!C16+'KV_9.4.2.sz.mell'!C16+'KV_9.5.2.sz.mell'!C16</f>
        <v>0</v>
      </c>
    </row>
    <row r="48" spans="1:3" s="388" customFormat="1" ht="12" customHeight="1">
      <c r="A48" s="14" t="s">
        <v>266</v>
      </c>
      <c r="B48" s="390" t="s">
        <v>276</v>
      </c>
      <c r="C48" s="275">
        <f>'KV_9.1.2.sz.mell.'!C46+'KV_9.2.2.sz.mell'!C17+'KV_9.3.2.sz.mell'!C17+'KV_9.4.2.sz.mell'!C17+'KV_9.5.2.sz.mell'!C17</f>
        <v>0</v>
      </c>
    </row>
    <row r="49" spans="1:3" s="388" customFormat="1" ht="12" customHeight="1">
      <c r="A49" s="16" t="s">
        <v>267</v>
      </c>
      <c r="B49" s="391" t="s">
        <v>427</v>
      </c>
      <c r="C49" s="275">
        <f>'KV_9.1.2.sz.mell.'!C47+'KV_9.2.2.sz.mell'!C18+'KV_9.3.2.sz.mell'!C18+'KV_9.4.2.sz.mell'!C18+'KV_9.5.2.sz.mell'!C18</f>
        <v>0</v>
      </c>
    </row>
    <row r="50" spans="1:3" s="388" customFormat="1" ht="12" customHeight="1" thickBot="1">
      <c r="A50" s="16" t="s">
        <v>426</v>
      </c>
      <c r="B50" s="269" t="s">
        <v>277</v>
      </c>
      <c r="C50" s="275">
        <f>'KV_9.1.2.sz.mell.'!C48+'KV_9.2.2.sz.mell'!C19+'KV_9.3.2.sz.mell'!C19+'KV_9.4.2.sz.mell'!C19+'KV_9.5.2.sz.mell'!C19</f>
        <v>30000</v>
      </c>
    </row>
    <row r="51" spans="1:3" s="388" customFormat="1" ht="12" customHeight="1" thickBot="1">
      <c r="A51" s="20" t="s">
        <v>23</v>
      </c>
      <c r="B51" s="21" t="s">
        <v>278</v>
      </c>
      <c r="C51" s="272">
        <f>SUM(C52:C56)</f>
        <v>260000000</v>
      </c>
    </row>
    <row r="52" spans="1:3" s="388" customFormat="1" ht="12" customHeight="1">
      <c r="A52" s="15" t="s">
        <v>94</v>
      </c>
      <c r="B52" s="389" t="s">
        <v>282</v>
      </c>
      <c r="C52" s="275">
        <f>'KV_9.1.2.sz.mell.'!C50+'KV_9.2.2.sz.mell'!C21+'KV_9.3.2.sz.mell'!C21+'KV_9.4.2.sz.mell'!C21+'KV_9.5.2.sz.mell'!C21</f>
        <v>0</v>
      </c>
    </row>
    <row r="53" spans="1:3" s="388" customFormat="1" ht="12" customHeight="1">
      <c r="A53" s="14" t="s">
        <v>95</v>
      </c>
      <c r="B53" s="390" t="s">
        <v>283</v>
      </c>
      <c r="C53" s="275">
        <f>'KV_9.1.2.sz.mell.'!C51+'KV_9.2.2.sz.mell'!C22+'KV_9.3.2.sz.mell'!C22+'KV_9.4.2.sz.mell'!C22+'KV_9.5.2.sz.mell'!C22</f>
        <v>260000000</v>
      </c>
    </row>
    <row r="54" spans="1:3" s="388" customFormat="1" ht="12" customHeight="1">
      <c r="A54" s="14" t="s">
        <v>279</v>
      </c>
      <c r="B54" s="390" t="s">
        <v>284</v>
      </c>
      <c r="C54" s="275">
        <f>'KV_9.1.2.sz.mell.'!C52+'KV_9.2.2.sz.mell'!C23+'KV_9.3.2.sz.mell'!C23+'KV_9.4.2.sz.mell'!C23+'KV_9.5.2.sz.mell'!C23</f>
        <v>0</v>
      </c>
    </row>
    <row r="55" spans="1:3" s="388" customFormat="1" ht="12" customHeight="1">
      <c r="A55" s="14" t="s">
        <v>280</v>
      </c>
      <c r="B55" s="390" t="s">
        <v>285</v>
      </c>
      <c r="C55" s="275">
        <f>'KV_9.1.2.sz.mell.'!C53</f>
        <v>0</v>
      </c>
    </row>
    <row r="56" spans="1:3" s="388" customFormat="1" ht="12" customHeight="1" thickBot="1">
      <c r="A56" s="16" t="s">
        <v>281</v>
      </c>
      <c r="B56" s="269" t="s">
        <v>286</v>
      </c>
      <c r="C56" s="275">
        <f>'KV_9.1.2.sz.mell.'!C54</f>
        <v>0</v>
      </c>
    </row>
    <row r="57" spans="1:3" s="388" customFormat="1" ht="12" customHeight="1" thickBot="1">
      <c r="A57" s="20" t="s">
        <v>178</v>
      </c>
      <c r="B57" s="21" t="s">
        <v>287</v>
      </c>
      <c r="C57" s="272">
        <f>SUM(C58:C60)</f>
        <v>12000000</v>
      </c>
    </row>
    <row r="58" spans="1:3" s="388" customFormat="1" ht="12" customHeight="1">
      <c r="A58" s="15" t="s">
        <v>96</v>
      </c>
      <c r="B58" s="389" t="s">
        <v>288</v>
      </c>
      <c r="C58" s="275"/>
    </row>
    <row r="59" spans="1:3" s="388" customFormat="1" ht="12" customHeight="1">
      <c r="A59" s="14" t="s">
        <v>97</v>
      </c>
      <c r="B59" s="390" t="s">
        <v>417</v>
      </c>
      <c r="C59" s="274">
        <f>'KV_9.1.2.sz.mell.'!C57</f>
        <v>12000000</v>
      </c>
    </row>
    <row r="60" spans="1:3" s="388" customFormat="1" ht="12" customHeight="1">
      <c r="A60" s="14" t="s">
        <v>291</v>
      </c>
      <c r="B60" s="390" t="s">
        <v>289</v>
      </c>
      <c r="C60" s="274"/>
    </row>
    <row r="61" spans="1:3" s="388" customFormat="1" ht="12" customHeight="1" thickBot="1">
      <c r="A61" s="16" t="s">
        <v>292</v>
      </c>
      <c r="B61" s="269" t="s">
        <v>290</v>
      </c>
      <c r="C61" s="276"/>
    </row>
    <row r="62" spans="1:3" s="388" customFormat="1" ht="12" customHeight="1" thickBot="1">
      <c r="A62" s="20" t="s">
        <v>25</v>
      </c>
      <c r="B62" s="267" t="s">
        <v>293</v>
      </c>
      <c r="C62" s="272">
        <f>SUM(C63:C65)</f>
        <v>235500</v>
      </c>
    </row>
    <row r="63" spans="1:3" s="388" customFormat="1" ht="12" customHeight="1">
      <c r="A63" s="15" t="s">
        <v>179</v>
      </c>
      <c r="B63" s="389" t="s">
        <v>295</v>
      </c>
      <c r="C63" s="277"/>
    </row>
    <row r="64" spans="1:3" s="388" customFormat="1" ht="12" customHeight="1">
      <c r="A64" s="14" t="s">
        <v>180</v>
      </c>
      <c r="B64" s="390" t="s">
        <v>418</v>
      </c>
      <c r="C64" s="277"/>
    </row>
    <row r="65" spans="1:3" s="388" customFormat="1" ht="12" customHeight="1">
      <c r="A65" s="14" t="s">
        <v>224</v>
      </c>
      <c r="B65" s="390" t="s">
        <v>296</v>
      </c>
      <c r="C65" s="277">
        <f>'KV_9.1.2.sz.mell.'!C63</f>
        <v>235500</v>
      </c>
    </row>
    <row r="66" spans="1:3" s="388" customFormat="1" ht="12" customHeight="1" thickBot="1">
      <c r="A66" s="16" t="s">
        <v>294</v>
      </c>
      <c r="B66" s="269" t="s">
        <v>297</v>
      </c>
      <c r="C66" s="277"/>
    </row>
    <row r="67" spans="1:3" s="388" customFormat="1" ht="12" customHeight="1" thickBot="1">
      <c r="A67" s="460" t="s">
        <v>467</v>
      </c>
      <c r="B67" s="21" t="s">
        <v>298</v>
      </c>
      <c r="C67" s="278">
        <f>+C10+C17+C24+C31+C39+C51+C57+C62</f>
        <v>278648939</v>
      </c>
    </row>
    <row r="68" spans="1:3" s="388" customFormat="1" ht="12" customHeight="1" thickBot="1">
      <c r="A68" s="436" t="s">
        <v>299</v>
      </c>
      <c r="B68" s="267" t="s">
        <v>300</v>
      </c>
      <c r="C68" s="272">
        <f>SUM(C69:C71)</f>
        <v>0</v>
      </c>
    </row>
    <row r="69" spans="1:3" s="388" customFormat="1" ht="12" customHeight="1">
      <c r="A69" s="15" t="s">
        <v>328</v>
      </c>
      <c r="B69" s="389" t="s">
        <v>301</v>
      </c>
      <c r="C69" s="277"/>
    </row>
    <row r="70" spans="1:3" s="388" customFormat="1" ht="12" customHeight="1">
      <c r="A70" s="14" t="s">
        <v>337</v>
      </c>
      <c r="B70" s="390" t="s">
        <v>302</v>
      </c>
      <c r="C70" s="277"/>
    </row>
    <row r="71" spans="1:3" s="388" customFormat="1" ht="12" customHeight="1" thickBot="1">
      <c r="A71" s="16" t="s">
        <v>338</v>
      </c>
      <c r="B71" s="454" t="s">
        <v>558</v>
      </c>
      <c r="C71" s="277"/>
    </row>
    <row r="72" spans="1:3" s="388" customFormat="1" ht="12" customHeight="1" thickBot="1">
      <c r="A72" s="436" t="s">
        <v>304</v>
      </c>
      <c r="B72" s="267" t="s">
        <v>305</v>
      </c>
      <c r="C72" s="272">
        <f>SUM(C73:C76)</f>
        <v>0</v>
      </c>
    </row>
    <row r="73" spans="1:3" s="388" customFormat="1" ht="12" customHeight="1">
      <c r="A73" s="15" t="s">
        <v>147</v>
      </c>
      <c r="B73" s="389" t="s">
        <v>306</v>
      </c>
      <c r="C73" s="277"/>
    </row>
    <row r="74" spans="1:3" s="388" customFormat="1" ht="12" customHeight="1">
      <c r="A74" s="14" t="s">
        <v>148</v>
      </c>
      <c r="B74" s="390" t="s">
        <v>559</v>
      </c>
      <c r="C74" s="277"/>
    </row>
    <row r="75" spans="1:3" s="388" customFormat="1" ht="12" customHeight="1" thickBot="1">
      <c r="A75" s="16" t="s">
        <v>329</v>
      </c>
      <c r="B75" s="391" t="s">
        <v>307</v>
      </c>
      <c r="C75" s="377"/>
    </row>
    <row r="76" spans="1:3" s="388" customFormat="1" ht="12" customHeight="1" thickBot="1">
      <c r="A76" s="538" t="s">
        <v>330</v>
      </c>
      <c r="B76" s="539" t="s">
        <v>560</v>
      </c>
      <c r="C76" s="540"/>
    </row>
    <row r="77" spans="1:3" s="388" customFormat="1" ht="12" customHeight="1" thickBot="1">
      <c r="A77" s="436" t="s">
        <v>308</v>
      </c>
      <c r="B77" s="267" t="s">
        <v>309</v>
      </c>
      <c r="C77" s="272">
        <f>SUM(C78:C79)</f>
        <v>3180799</v>
      </c>
    </row>
    <row r="78" spans="1:3" s="388" customFormat="1" ht="12" customHeight="1" thickBot="1">
      <c r="A78" s="13" t="s">
        <v>331</v>
      </c>
      <c r="B78" s="537" t="s">
        <v>310</v>
      </c>
      <c r="C78" s="377">
        <f>'KV_9.2.2.sz.mell'!C39</f>
        <v>3180799</v>
      </c>
    </row>
    <row r="79" spans="1:3" s="388" customFormat="1" ht="12" customHeight="1" thickBot="1">
      <c r="A79" s="538" t="s">
        <v>332</v>
      </c>
      <c r="B79" s="539" t="s">
        <v>311</v>
      </c>
      <c r="C79" s="540"/>
    </row>
    <row r="80" spans="1:3" s="388" customFormat="1" ht="12" customHeight="1" thickBot="1">
      <c r="A80" s="436" t="s">
        <v>312</v>
      </c>
      <c r="B80" s="267" t="s">
        <v>313</v>
      </c>
      <c r="C80" s="272">
        <f>SUM(C81:C83)</f>
        <v>0</v>
      </c>
    </row>
    <row r="81" spans="1:3" s="388" customFormat="1" ht="12" customHeight="1">
      <c r="A81" s="15" t="s">
        <v>333</v>
      </c>
      <c r="B81" s="389" t="s">
        <v>314</v>
      </c>
      <c r="C81" s="277"/>
    </row>
    <row r="82" spans="1:3" s="388" customFormat="1" ht="12" customHeight="1">
      <c r="A82" s="14" t="s">
        <v>334</v>
      </c>
      <c r="B82" s="390" t="s">
        <v>315</v>
      </c>
      <c r="C82" s="277"/>
    </row>
    <row r="83" spans="1:3" s="388" customFormat="1" ht="12" customHeight="1" thickBot="1">
      <c r="A83" s="18" t="s">
        <v>335</v>
      </c>
      <c r="B83" s="541" t="s">
        <v>561</v>
      </c>
      <c r="C83" s="542"/>
    </row>
    <row r="84" spans="1:3" s="388" customFormat="1" ht="12" customHeight="1" thickBot="1">
      <c r="A84" s="436" t="s">
        <v>316</v>
      </c>
      <c r="B84" s="267" t="s">
        <v>336</v>
      </c>
      <c r="C84" s="272">
        <f>SUM(C85:C88)</f>
        <v>0</v>
      </c>
    </row>
    <row r="85" spans="1:3" s="388" customFormat="1" ht="12" customHeight="1">
      <c r="A85" s="393" t="s">
        <v>317</v>
      </c>
      <c r="B85" s="389" t="s">
        <v>318</v>
      </c>
      <c r="C85" s="277"/>
    </row>
    <row r="86" spans="1:3" s="388" customFormat="1" ht="12" customHeight="1">
      <c r="A86" s="394" t="s">
        <v>319</v>
      </c>
      <c r="B86" s="390" t="s">
        <v>320</v>
      </c>
      <c r="C86" s="277"/>
    </row>
    <row r="87" spans="1:3" s="388" customFormat="1" ht="12" customHeight="1">
      <c r="A87" s="394" t="s">
        <v>321</v>
      </c>
      <c r="B87" s="390" t="s">
        <v>322</v>
      </c>
      <c r="C87" s="277"/>
    </row>
    <row r="88" spans="1:3" s="388" customFormat="1" ht="12" customHeight="1" thickBot="1">
      <c r="A88" s="395" t="s">
        <v>323</v>
      </c>
      <c r="B88" s="269" t="s">
        <v>324</v>
      </c>
      <c r="C88" s="277"/>
    </row>
    <row r="89" spans="1:3" s="388" customFormat="1" ht="12" customHeight="1" thickBot="1">
      <c r="A89" s="436" t="s">
        <v>325</v>
      </c>
      <c r="B89" s="267" t="s">
        <v>466</v>
      </c>
      <c r="C89" s="434"/>
    </row>
    <row r="90" spans="1:3" s="388" customFormat="1" ht="13.5" customHeight="1" thickBot="1">
      <c r="A90" s="436" t="s">
        <v>327</v>
      </c>
      <c r="B90" s="267" t="s">
        <v>326</v>
      </c>
      <c r="C90" s="434"/>
    </row>
    <row r="91" spans="1:3" s="388" customFormat="1" ht="15.75" customHeight="1" thickBot="1">
      <c r="A91" s="436" t="s">
        <v>339</v>
      </c>
      <c r="B91" s="396" t="s">
        <v>469</v>
      </c>
      <c r="C91" s="278">
        <f>+C68+C72+C77+C80+C84+C90+C89</f>
        <v>3180799</v>
      </c>
    </row>
    <row r="92" spans="1:3" s="388" customFormat="1" ht="16.5" customHeight="1" thickBot="1">
      <c r="A92" s="437" t="s">
        <v>468</v>
      </c>
      <c r="B92" s="397" t="s">
        <v>470</v>
      </c>
      <c r="C92" s="278">
        <f>+C67+C91</f>
        <v>281829738</v>
      </c>
    </row>
    <row r="93" spans="1:3" s="388" customFormat="1" ht="10.5" customHeight="1">
      <c r="A93" s="5"/>
      <c r="B93" s="6"/>
      <c r="C93" s="279"/>
    </row>
    <row r="94" spans="1:3" ht="16.5" customHeight="1">
      <c r="A94" s="743" t="s">
        <v>47</v>
      </c>
      <c r="B94" s="743"/>
      <c r="C94" s="743"/>
    </row>
    <row r="95" spans="1:3" s="398" customFormat="1" ht="16.5" customHeight="1" thickBot="1">
      <c r="A95" s="740" t="s">
        <v>151</v>
      </c>
      <c r="B95" s="740"/>
      <c r="C95" s="549" t="str">
        <f>C7</f>
        <v>Forintban!</v>
      </c>
    </row>
    <row r="96" spans="1:3" ht="30" customHeight="1" thickBot="1">
      <c r="A96" s="530" t="s">
        <v>69</v>
      </c>
      <c r="B96" s="531" t="s">
        <v>48</v>
      </c>
      <c r="C96" s="532" t="str">
        <f>+C8</f>
        <v>2021. évi előirányzat</v>
      </c>
    </row>
    <row r="97" spans="1:3" s="387" customFormat="1" ht="12" customHeight="1" thickBot="1">
      <c r="A97" s="530"/>
      <c r="B97" s="531" t="s">
        <v>484</v>
      </c>
      <c r="C97" s="532" t="s">
        <v>485</v>
      </c>
    </row>
    <row r="98" spans="1:3" ht="12" customHeight="1" thickBot="1">
      <c r="A98" s="22" t="s">
        <v>18</v>
      </c>
      <c r="B98" s="28" t="s">
        <v>428</v>
      </c>
      <c r="C98" s="271">
        <f>C99+C100+C101+C102+C103+C116</f>
        <v>137149635</v>
      </c>
    </row>
    <row r="99" spans="1:3" ht="12" customHeight="1">
      <c r="A99" s="17" t="s">
        <v>98</v>
      </c>
      <c r="B99" s="10" t="s">
        <v>49</v>
      </c>
      <c r="C99" s="273">
        <f>'KV_9.1.2.sz.mell.'!C94+'KV_9.2.2.sz.mell'!C47+'KV_9.3.2.sz.mell'!C46+'KV_9.4.2.sz.mell'!C46+'KV_9.5.2.sz.mell'!C46</f>
        <v>1050000</v>
      </c>
    </row>
    <row r="100" spans="1:3" ht="12" customHeight="1">
      <c r="A100" s="14" t="s">
        <v>99</v>
      </c>
      <c r="B100" s="8" t="s">
        <v>181</v>
      </c>
      <c r="C100" s="274">
        <f>'KV_9.1.2.sz.mell.'!C95+'KV_9.2.2.sz.mell'!C48+'KV_9.3.2.sz.mell'!C47+'KV_9.4.2.sz.mell'!C47+'KV_9.5.2.sz.mell'!C47</f>
        <v>0</v>
      </c>
    </row>
    <row r="101" spans="1:3" ht="12" customHeight="1">
      <c r="A101" s="14" t="s">
        <v>100</v>
      </c>
      <c r="B101" s="8" t="s">
        <v>138</v>
      </c>
      <c r="C101" s="274">
        <f>'KV_9.1.2.sz.mell.'!C96+'KV_9.2.2.sz.mell'!C49+'KV_9.3.2.sz.mell'!C48+'KV_9.4.2.sz.mell'!C48+'KV_9.5.2.sz.mell'!C48</f>
        <v>43077702</v>
      </c>
    </row>
    <row r="102" spans="1:3" ht="12" customHeight="1">
      <c r="A102" s="14" t="s">
        <v>101</v>
      </c>
      <c r="B102" s="11" t="s">
        <v>182</v>
      </c>
      <c r="C102" s="274">
        <f>'KV_9.1.2.sz.mell.'!C97+'KV_9.2.2.sz.mell'!C50+'KV_9.3.2.sz.mell'!C49+'KV_9.4.2.sz.mell'!C49+'KV_9.5.2.sz.mell'!C49</f>
        <v>15700000</v>
      </c>
    </row>
    <row r="103" spans="1:3" ht="12" customHeight="1">
      <c r="A103" s="14" t="s">
        <v>112</v>
      </c>
      <c r="B103" s="19" t="s">
        <v>183</v>
      </c>
      <c r="C103" s="275">
        <f>'KV_9.1.2.sz.mell.'!C98+'KV_9.2.2.sz.mell'!C51+'KV_9.3.2.sz.mell'!C50+'KV_9.4.2.sz.mell'!C50+'KV_9.5.2.sz.mell'!C50</f>
        <v>76321933</v>
      </c>
    </row>
    <row r="104" spans="1:3" ht="12" customHeight="1">
      <c r="A104" s="14" t="s">
        <v>102</v>
      </c>
      <c r="B104" s="8" t="s">
        <v>433</v>
      </c>
      <c r="C104" s="276">
        <f>'KV_9.1.2.sz.mell.'!C99</f>
        <v>0</v>
      </c>
    </row>
    <row r="105" spans="1:3" ht="12" customHeight="1">
      <c r="A105" s="14" t="s">
        <v>103</v>
      </c>
      <c r="B105" s="139" t="s">
        <v>432</v>
      </c>
      <c r="C105" s="276">
        <f>'KV_9.1.2.sz.mell.'!C100</f>
        <v>0</v>
      </c>
    </row>
    <row r="106" spans="1:3" ht="12" customHeight="1">
      <c r="A106" s="14" t="s">
        <v>113</v>
      </c>
      <c r="B106" s="139" t="s">
        <v>431</v>
      </c>
      <c r="C106" s="276">
        <f>'KV_9.1.2.sz.mell.'!C101</f>
        <v>0</v>
      </c>
    </row>
    <row r="107" spans="1:3" ht="12" customHeight="1">
      <c r="A107" s="14" t="s">
        <v>114</v>
      </c>
      <c r="B107" s="137" t="s">
        <v>342</v>
      </c>
      <c r="C107" s="276">
        <f>'KV_9.1.2.sz.mell.'!C102</f>
        <v>0</v>
      </c>
    </row>
    <row r="108" spans="1:3" ht="12" customHeight="1">
      <c r="A108" s="14" t="s">
        <v>115</v>
      </c>
      <c r="B108" s="138" t="s">
        <v>343</v>
      </c>
      <c r="C108" s="276">
        <f>'KV_9.1.2.sz.mell.'!C103</f>
        <v>0</v>
      </c>
    </row>
    <row r="109" spans="1:3" ht="12" customHeight="1">
      <c r="A109" s="14" t="s">
        <v>116</v>
      </c>
      <c r="B109" s="138" t="s">
        <v>344</v>
      </c>
      <c r="C109" s="276">
        <f>'KV_9.1.2.sz.mell.'!C104</f>
        <v>0</v>
      </c>
    </row>
    <row r="110" spans="1:3" ht="12" customHeight="1">
      <c r="A110" s="14" t="s">
        <v>118</v>
      </c>
      <c r="B110" s="137" t="s">
        <v>345</v>
      </c>
      <c r="C110" s="276">
        <f>'KV_9.1.2.sz.mell.'!C105</f>
        <v>51959933</v>
      </c>
    </row>
    <row r="111" spans="1:3" ht="12" customHeight="1">
      <c r="A111" s="14" t="s">
        <v>184</v>
      </c>
      <c r="B111" s="137" t="s">
        <v>346</v>
      </c>
      <c r="C111" s="276">
        <f>'KV_9.1.2.sz.mell.'!C106</f>
        <v>0</v>
      </c>
    </row>
    <row r="112" spans="1:3" ht="12" customHeight="1">
      <c r="A112" s="14" t="s">
        <v>340</v>
      </c>
      <c r="B112" s="138" t="s">
        <v>347</v>
      </c>
      <c r="C112" s="276">
        <f>'KV_9.1.2.sz.mell.'!C107</f>
        <v>0</v>
      </c>
    </row>
    <row r="113" spans="1:3" ht="12" customHeight="1">
      <c r="A113" s="13" t="s">
        <v>341</v>
      </c>
      <c r="B113" s="139" t="s">
        <v>348</v>
      </c>
      <c r="C113" s="276">
        <f>'KV_9.1.2.sz.mell.'!C108</f>
        <v>0</v>
      </c>
    </row>
    <row r="114" spans="1:3" ht="12" customHeight="1">
      <c r="A114" s="14" t="s">
        <v>429</v>
      </c>
      <c r="B114" s="139" t="s">
        <v>349</v>
      </c>
      <c r="C114" s="276">
        <f>'KV_9.1.2.sz.mell.'!C109</f>
        <v>0</v>
      </c>
    </row>
    <row r="115" spans="1:3" ht="12" customHeight="1">
      <c r="A115" s="16" t="s">
        <v>430</v>
      </c>
      <c r="B115" s="139" t="s">
        <v>350</v>
      </c>
      <c r="C115" s="276">
        <f>'KV_9.1.2.sz.mell.'!C110</f>
        <v>24362000</v>
      </c>
    </row>
    <row r="116" spans="1:3" ht="12" customHeight="1">
      <c r="A116" s="14" t="s">
        <v>434</v>
      </c>
      <c r="B116" s="11" t="s">
        <v>50</v>
      </c>
      <c r="C116" s="274">
        <f>'KV_9.1.2.sz.mell.'!C111</f>
        <v>1000000</v>
      </c>
    </row>
    <row r="117" spans="1:3" ht="12" customHeight="1">
      <c r="A117" s="14" t="s">
        <v>435</v>
      </c>
      <c r="B117" s="8" t="s">
        <v>437</v>
      </c>
      <c r="C117" s="274">
        <f>'KV_9.1.2.sz.mell.'!C112</f>
        <v>0</v>
      </c>
    </row>
    <row r="118" spans="1:3" ht="12" customHeight="1" thickBot="1">
      <c r="A118" s="18" t="s">
        <v>436</v>
      </c>
      <c r="B118" s="458" t="s">
        <v>438</v>
      </c>
      <c r="C118" s="274">
        <f>'KV_9.1.2.sz.mell.'!C113</f>
        <v>1000000</v>
      </c>
    </row>
    <row r="119" spans="1:3" ht="12" customHeight="1" thickBot="1">
      <c r="A119" s="455" t="s">
        <v>19</v>
      </c>
      <c r="B119" s="456" t="s">
        <v>351</v>
      </c>
      <c r="C119" s="457">
        <f>+C120+C122+C124</f>
        <v>4196799</v>
      </c>
    </row>
    <row r="120" spans="1:3" ht="12" customHeight="1">
      <c r="A120" s="15" t="s">
        <v>104</v>
      </c>
      <c r="B120" s="8" t="s">
        <v>223</v>
      </c>
      <c r="C120" s="275">
        <f>'KV_9.1.2.sz.mell.'!C115+'KV_9.2.2.sz.mell'!C53+'KV_9.3.2.sz.mell'!C52+'KV_9.4.2.sz.mell'!C52+'KV_9.5.2.sz.mell'!C52</f>
        <v>4196799</v>
      </c>
    </row>
    <row r="121" spans="1:3" ht="12" customHeight="1">
      <c r="A121" s="15" t="s">
        <v>105</v>
      </c>
      <c r="B121" s="12" t="s">
        <v>355</v>
      </c>
      <c r="C121" s="275"/>
    </row>
    <row r="122" spans="1:3" ht="12" customHeight="1">
      <c r="A122" s="15" t="s">
        <v>106</v>
      </c>
      <c r="B122" s="12" t="s">
        <v>185</v>
      </c>
      <c r="C122" s="274">
        <f>'KV_9.1.2.sz.mell.'!C117+'KV_9.2.2.sz.mell'!C54+'KV_9.3.2.sz.mell'!C53+'KV_9.4.2.sz.mell'!C53+'KV_9.5.2.sz.mell'!C53</f>
        <v>0</v>
      </c>
    </row>
    <row r="123" spans="1:3" ht="12" customHeight="1">
      <c r="A123" s="15" t="s">
        <v>107</v>
      </c>
      <c r="B123" s="12" t="s">
        <v>356</v>
      </c>
      <c r="C123" s="240"/>
    </row>
    <row r="124" spans="1:3" ht="12" customHeight="1">
      <c r="A124" s="15" t="s">
        <v>108</v>
      </c>
      <c r="B124" s="269" t="s">
        <v>563</v>
      </c>
      <c r="C124" s="240"/>
    </row>
    <row r="125" spans="1:3" ht="12" customHeight="1">
      <c r="A125" s="15" t="s">
        <v>117</v>
      </c>
      <c r="B125" s="268" t="s">
        <v>419</v>
      </c>
      <c r="C125" s="240"/>
    </row>
    <row r="126" spans="1:3" ht="12" customHeight="1">
      <c r="A126" s="15" t="s">
        <v>119</v>
      </c>
      <c r="B126" s="385" t="s">
        <v>361</v>
      </c>
      <c r="C126" s="240"/>
    </row>
    <row r="127" spans="1:3" ht="15.75">
      <c r="A127" s="15" t="s">
        <v>186</v>
      </c>
      <c r="B127" s="138" t="s">
        <v>344</v>
      </c>
      <c r="C127" s="240"/>
    </row>
    <row r="128" spans="1:3" ht="12" customHeight="1">
      <c r="A128" s="15" t="s">
        <v>187</v>
      </c>
      <c r="B128" s="138" t="s">
        <v>360</v>
      </c>
      <c r="C128" s="240"/>
    </row>
    <row r="129" spans="1:3" ht="12" customHeight="1">
      <c r="A129" s="15" t="s">
        <v>188</v>
      </c>
      <c r="B129" s="138" t="s">
        <v>359</v>
      </c>
      <c r="C129" s="240"/>
    </row>
    <row r="130" spans="1:3" ht="12" customHeight="1">
      <c r="A130" s="15" t="s">
        <v>352</v>
      </c>
      <c r="B130" s="138" t="s">
        <v>347</v>
      </c>
      <c r="C130" s="240"/>
    </row>
    <row r="131" spans="1:3" ht="12" customHeight="1">
      <c r="A131" s="15" t="s">
        <v>353</v>
      </c>
      <c r="B131" s="138" t="s">
        <v>358</v>
      </c>
      <c r="C131" s="240"/>
    </row>
    <row r="132" spans="1:3" ht="16.5" thickBot="1">
      <c r="A132" s="13" t="s">
        <v>354</v>
      </c>
      <c r="B132" s="138" t="s">
        <v>357</v>
      </c>
      <c r="C132" s="242"/>
    </row>
    <row r="133" spans="1:3" ht="12" customHeight="1" thickBot="1">
      <c r="A133" s="20" t="s">
        <v>20</v>
      </c>
      <c r="B133" s="119" t="s">
        <v>439</v>
      </c>
      <c r="C133" s="272">
        <f>+C98+C119</f>
        <v>141346434</v>
      </c>
    </row>
    <row r="134" spans="1:3" ht="12" customHeight="1" thickBot="1">
      <c r="A134" s="20" t="s">
        <v>21</v>
      </c>
      <c r="B134" s="119" t="s">
        <v>440</v>
      </c>
      <c r="C134" s="272">
        <f>+C135+C136+C137</f>
        <v>0</v>
      </c>
    </row>
    <row r="135" spans="1:3" ht="12" customHeight="1">
      <c r="A135" s="15" t="s">
        <v>261</v>
      </c>
      <c r="B135" s="12" t="s">
        <v>447</v>
      </c>
      <c r="C135" s="240"/>
    </row>
    <row r="136" spans="1:3" ht="12" customHeight="1">
      <c r="A136" s="15" t="s">
        <v>262</v>
      </c>
      <c r="B136" s="12" t="s">
        <v>448</v>
      </c>
      <c r="C136" s="240"/>
    </row>
    <row r="137" spans="1:3" ht="12" customHeight="1" thickBot="1">
      <c r="A137" s="13" t="s">
        <v>263</v>
      </c>
      <c r="B137" s="12" t="s">
        <v>449</v>
      </c>
      <c r="C137" s="240"/>
    </row>
    <row r="138" spans="1:3" ht="12" customHeight="1" thickBot="1">
      <c r="A138" s="20" t="s">
        <v>22</v>
      </c>
      <c r="B138" s="119" t="s">
        <v>441</v>
      </c>
      <c r="C138" s="272">
        <f>SUM(C139:C144)</f>
        <v>0</v>
      </c>
    </row>
    <row r="139" spans="1:3" ht="12" customHeight="1">
      <c r="A139" s="15" t="s">
        <v>91</v>
      </c>
      <c r="B139" s="9" t="s">
        <v>450</v>
      </c>
      <c r="C139" s="240"/>
    </row>
    <row r="140" spans="1:3" ht="12" customHeight="1">
      <c r="A140" s="15" t="s">
        <v>92</v>
      </c>
      <c r="B140" s="9" t="s">
        <v>442</v>
      </c>
      <c r="C140" s="240"/>
    </row>
    <row r="141" spans="1:3" ht="12" customHeight="1">
      <c r="A141" s="15" t="s">
        <v>93</v>
      </c>
      <c r="B141" s="9" t="s">
        <v>443</v>
      </c>
      <c r="C141" s="240"/>
    </row>
    <row r="142" spans="1:3" ht="12" customHeight="1">
      <c r="A142" s="15" t="s">
        <v>173</v>
      </c>
      <c r="B142" s="9" t="s">
        <v>444</v>
      </c>
      <c r="C142" s="240"/>
    </row>
    <row r="143" spans="1:3" ht="12" customHeight="1">
      <c r="A143" s="13" t="s">
        <v>174</v>
      </c>
      <c r="B143" s="7" t="s">
        <v>445</v>
      </c>
      <c r="C143" s="242"/>
    </row>
    <row r="144" spans="1:3" ht="12" customHeight="1" thickBot="1">
      <c r="A144" s="18" t="s">
        <v>175</v>
      </c>
      <c r="B144" s="688" t="s">
        <v>446</v>
      </c>
      <c r="C144" s="465"/>
    </row>
    <row r="145" spans="1:3" ht="12" customHeight="1" thickBot="1">
      <c r="A145" s="20" t="s">
        <v>23</v>
      </c>
      <c r="B145" s="119" t="s">
        <v>454</v>
      </c>
      <c r="C145" s="278">
        <f>+C146+C147+C148+C149</f>
        <v>0</v>
      </c>
    </row>
    <row r="146" spans="1:3" ht="12" customHeight="1">
      <c r="A146" s="15" t="s">
        <v>94</v>
      </c>
      <c r="B146" s="9" t="s">
        <v>362</v>
      </c>
      <c r="C146" s="240"/>
    </row>
    <row r="147" spans="1:3" ht="12" customHeight="1">
      <c r="A147" s="15" t="s">
        <v>95</v>
      </c>
      <c r="B147" s="9" t="s">
        <v>363</v>
      </c>
      <c r="C147" s="240"/>
    </row>
    <row r="148" spans="1:3" ht="12" customHeight="1" thickBot="1">
      <c r="A148" s="13" t="s">
        <v>279</v>
      </c>
      <c r="B148" s="7" t="s">
        <v>455</v>
      </c>
      <c r="C148" s="242"/>
    </row>
    <row r="149" spans="1:3" ht="12" customHeight="1" thickBot="1">
      <c r="A149" s="538" t="s">
        <v>280</v>
      </c>
      <c r="B149" s="543" t="s">
        <v>381</v>
      </c>
      <c r="C149" s="544"/>
    </row>
    <row r="150" spans="1:3" ht="12" customHeight="1" thickBot="1">
      <c r="A150" s="20" t="s">
        <v>24</v>
      </c>
      <c r="B150" s="119" t="s">
        <v>456</v>
      </c>
      <c r="C150" s="281">
        <f>SUM(C151:C155)</f>
        <v>0</v>
      </c>
    </row>
    <row r="151" spans="1:3" ht="12" customHeight="1">
      <c r="A151" s="15" t="s">
        <v>96</v>
      </c>
      <c r="B151" s="9" t="s">
        <v>451</v>
      </c>
      <c r="C151" s="240"/>
    </row>
    <row r="152" spans="1:3" ht="12" customHeight="1">
      <c r="A152" s="15" t="s">
        <v>97</v>
      </c>
      <c r="B152" s="9" t="s">
        <v>458</v>
      </c>
      <c r="C152" s="240"/>
    </row>
    <row r="153" spans="1:3" ht="12" customHeight="1">
      <c r="A153" s="15" t="s">
        <v>291</v>
      </c>
      <c r="B153" s="9" t="s">
        <v>453</v>
      </c>
      <c r="C153" s="240"/>
    </row>
    <row r="154" spans="1:3" ht="12" customHeight="1">
      <c r="A154" s="15" t="s">
        <v>292</v>
      </c>
      <c r="B154" s="9" t="s">
        <v>509</v>
      </c>
      <c r="C154" s="240"/>
    </row>
    <row r="155" spans="1:3" ht="12" customHeight="1" thickBot="1">
      <c r="A155" s="15" t="s">
        <v>457</v>
      </c>
      <c r="B155" s="9" t="s">
        <v>460</v>
      </c>
      <c r="C155" s="240"/>
    </row>
    <row r="156" spans="1:3" ht="12" customHeight="1" thickBot="1">
      <c r="A156" s="20" t="s">
        <v>25</v>
      </c>
      <c r="B156" s="119" t="s">
        <v>461</v>
      </c>
      <c r="C156" s="459"/>
    </row>
    <row r="157" spans="1:3" ht="12" customHeight="1" thickBot="1">
      <c r="A157" s="20" t="s">
        <v>26</v>
      </c>
      <c r="B157" s="119" t="s">
        <v>462</v>
      </c>
      <c r="C157" s="459"/>
    </row>
    <row r="158" spans="1:9" ht="15" customHeight="1" thickBot="1">
      <c r="A158" s="20" t="s">
        <v>27</v>
      </c>
      <c r="B158" s="119" t="s">
        <v>464</v>
      </c>
      <c r="C158" s="545">
        <f>+C134+C138+C145+C150+C156+C157</f>
        <v>0</v>
      </c>
      <c r="F158" s="400"/>
      <c r="G158" s="401"/>
      <c r="H158" s="401"/>
      <c r="I158" s="401"/>
    </row>
    <row r="159" spans="1:3" s="388" customFormat="1" ht="17.25" customHeight="1" thickBot="1">
      <c r="A159" s="270" t="s">
        <v>28</v>
      </c>
      <c r="B159" s="546" t="s">
        <v>463</v>
      </c>
      <c r="C159" s="545">
        <f>+C133+C158</f>
        <v>141346434</v>
      </c>
    </row>
    <row r="160" spans="1:3" ht="15.75" customHeight="1">
      <c r="A160" s="547"/>
      <c r="B160" s="547"/>
      <c r="C160" s="605"/>
    </row>
    <row r="161" spans="1:3" ht="15.75">
      <c r="A161" s="741" t="s">
        <v>364</v>
      </c>
      <c r="B161" s="741"/>
      <c r="C161" s="741"/>
    </row>
    <row r="162" spans="1:3" ht="15" customHeight="1" thickBot="1">
      <c r="A162" s="742" t="s">
        <v>152</v>
      </c>
      <c r="B162" s="742"/>
      <c r="C162" s="550" t="str">
        <f>C95</f>
        <v>Forintban!</v>
      </c>
    </row>
    <row r="163" spans="1:4" ht="13.5" customHeight="1" thickBot="1">
      <c r="A163" s="20">
        <v>1</v>
      </c>
      <c r="B163" s="27" t="s">
        <v>465</v>
      </c>
      <c r="C163" s="272">
        <f>+C67-C133</f>
        <v>137302505</v>
      </c>
      <c r="D163" s="402"/>
    </row>
    <row r="164" spans="1:3" ht="27.75" customHeight="1" thickBot="1">
      <c r="A164" s="20" t="s">
        <v>19</v>
      </c>
      <c r="B164" s="27" t="s">
        <v>471</v>
      </c>
      <c r="C164" s="272">
        <f>+C91-C158</f>
        <v>3180799</v>
      </c>
    </row>
  </sheetData>
  <sheetProtection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164"/>
  <sheetViews>
    <sheetView zoomScale="120" zoomScaleNormal="120" zoomScaleSheetLayoutView="100" workbookViewId="0" topLeftCell="A129">
      <selection activeCell="E161" sqref="E161"/>
    </sheetView>
  </sheetViews>
  <sheetFormatPr defaultColWidth="9.00390625" defaultRowHeight="12.75"/>
  <cols>
    <col min="1" max="1" width="9.50390625" style="355" customWidth="1"/>
    <col min="2" max="2" width="99.375" style="355" customWidth="1"/>
    <col min="3" max="3" width="21.625" style="356" customWidth="1"/>
    <col min="4" max="4" width="9.00390625" style="386" customWidth="1"/>
    <col min="5" max="16384" width="9.375" style="386" customWidth="1"/>
  </cols>
  <sheetData>
    <row r="1" spans="1:3" ht="18.75" customHeight="1">
      <c r="A1" s="596"/>
      <c r="B1" s="736" t="str">
        <f>CONCATENATE("1.4. melléklet ",ALAPADATOK!A7," ",ALAPADATOK!B7," ",ALAPADATOK!C7," ",ALAPADATOK!D7," ",ALAPADATOK!E7," ",ALAPADATOK!F7," ",ALAPADATOK!G7," ",ALAPADATOK!H7)</f>
        <v>1.4. melléklet a … / 2021 ( … ) önkormányzati rendelethez</v>
      </c>
      <c r="C1" s="737"/>
    </row>
    <row r="2" spans="1:3" ht="21.75" customHeight="1">
      <c r="A2" s="597"/>
      <c r="B2" s="598" t="str">
        <f>CONCATENATE(ALAPADATOK!A3)</f>
        <v>SOLYMÁR NAGYKÖZSÉG ÖNKORMÁNYZATA</v>
      </c>
      <c r="C2" s="599"/>
    </row>
    <row r="3" spans="1:3" ht="21.75" customHeight="1">
      <c r="A3" s="599"/>
      <c r="B3" s="598" t="str">
        <f>'KV_1.3.sz.mell.'!B3</f>
        <v>2021. ÉVI KÖLTSÉGVETÉS</v>
      </c>
      <c r="C3" s="599"/>
    </row>
    <row r="4" spans="1:3" ht="21.75" customHeight="1">
      <c r="A4" s="599"/>
      <c r="B4" s="598" t="s">
        <v>570</v>
      </c>
      <c r="C4" s="599"/>
    </row>
    <row r="5" spans="1:3" ht="21.75" customHeight="1">
      <c r="A5" s="596"/>
      <c r="B5" s="596"/>
      <c r="C5" s="600"/>
    </row>
    <row r="6" spans="1:3" ht="15" customHeight="1">
      <c r="A6" s="738" t="s">
        <v>15</v>
      </c>
      <c r="B6" s="738"/>
      <c r="C6" s="738"/>
    </row>
    <row r="7" spans="1:3" ht="15" customHeight="1" thickBot="1">
      <c r="A7" s="739" t="s">
        <v>150</v>
      </c>
      <c r="B7" s="739"/>
      <c r="C7" s="548" t="str">
        <f>CONCATENATE('KV_1.1.sz.mell.'!C7)</f>
        <v>Forintban!</v>
      </c>
    </row>
    <row r="8" spans="1:3" ht="24" customHeight="1" thickBot="1">
      <c r="A8" s="601" t="s">
        <v>69</v>
      </c>
      <c r="B8" s="602" t="s">
        <v>17</v>
      </c>
      <c r="C8" s="603" t="str">
        <f>+CONCATENATE(LEFT(KV_ÖSSZEFÜGGÉSEK!A5,4),". évi előirányzat")</f>
        <v>2021. évi előirányzat</v>
      </c>
    </row>
    <row r="9" spans="1:3" s="387" customFormat="1" ht="12" customHeight="1" thickBot="1">
      <c r="A9" s="533"/>
      <c r="B9" s="534" t="s">
        <v>484</v>
      </c>
      <c r="C9" s="535" t="s">
        <v>485</v>
      </c>
    </row>
    <row r="10" spans="1:3" s="388" customFormat="1" ht="12" customHeight="1" thickBot="1">
      <c r="A10" s="20" t="s">
        <v>18</v>
      </c>
      <c r="B10" s="21" t="s">
        <v>245</v>
      </c>
      <c r="C10" s="272">
        <f>+C11+C12+C13+C14+C15+C16</f>
        <v>0</v>
      </c>
    </row>
    <row r="11" spans="1:3" s="388" customFormat="1" ht="12" customHeight="1">
      <c r="A11" s="15" t="s">
        <v>98</v>
      </c>
      <c r="B11" s="389" t="s">
        <v>246</v>
      </c>
      <c r="C11" s="275">
        <f>'KV_9.1.3.sz.mell'!C9</f>
        <v>0</v>
      </c>
    </row>
    <row r="12" spans="1:3" s="388" customFormat="1" ht="12" customHeight="1">
      <c r="A12" s="14" t="s">
        <v>99</v>
      </c>
      <c r="B12" s="390" t="s">
        <v>247</v>
      </c>
      <c r="C12" s="274"/>
    </row>
    <row r="13" spans="1:3" s="388" customFormat="1" ht="12" customHeight="1">
      <c r="A13" s="14" t="s">
        <v>100</v>
      </c>
      <c r="B13" s="390" t="s">
        <v>541</v>
      </c>
      <c r="C13" s="274"/>
    </row>
    <row r="14" spans="1:3" s="388" customFormat="1" ht="12" customHeight="1">
      <c r="A14" s="14" t="s">
        <v>101</v>
      </c>
      <c r="B14" s="390" t="s">
        <v>249</v>
      </c>
      <c r="C14" s="274"/>
    </row>
    <row r="15" spans="1:3" s="388" customFormat="1" ht="12" customHeight="1">
      <c r="A15" s="14" t="s">
        <v>146</v>
      </c>
      <c r="B15" s="268" t="s">
        <v>423</v>
      </c>
      <c r="C15" s="274"/>
    </row>
    <row r="16" spans="1:3" s="388" customFormat="1" ht="12" customHeight="1" thickBot="1">
      <c r="A16" s="16" t="s">
        <v>102</v>
      </c>
      <c r="B16" s="269" t="s">
        <v>424</v>
      </c>
      <c r="C16" s="274"/>
    </row>
    <row r="17" spans="1:3" s="388" customFormat="1" ht="12" customHeight="1" thickBot="1">
      <c r="A17" s="20" t="s">
        <v>19</v>
      </c>
      <c r="B17" s="267" t="s">
        <v>250</v>
      </c>
      <c r="C17" s="272">
        <f>+C18+C19+C20+C21+C22</f>
        <v>0</v>
      </c>
    </row>
    <row r="18" spans="1:3" s="388" customFormat="1" ht="12" customHeight="1">
      <c r="A18" s="15" t="s">
        <v>104</v>
      </c>
      <c r="B18" s="389" t="s">
        <v>251</v>
      </c>
      <c r="C18" s="275"/>
    </row>
    <row r="19" spans="1:3" s="388" customFormat="1" ht="12" customHeight="1">
      <c r="A19" s="14" t="s">
        <v>105</v>
      </c>
      <c r="B19" s="390" t="s">
        <v>252</v>
      </c>
      <c r="C19" s="274"/>
    </row>
    <row r="20" spans="1:3" s="388" customFormat="1" ht="12" customHeight="1">
      <c r="A20" s="14" t="s">
        <v>106</v>
      </c>
      <c r="B20" s="390" t="s">
        <v>413</v>
      </c>
      <c r="C20" s="274"/>
    </row>
    <row r="21" spans="1:3" s="388" customFormat="1" ht="12" customHeight="1">
      <c r="A21" s="14" t="s">
        <v>107</v>
      </c>
      <c r="B21" s="390" t="s">
        <v>414</v>
      </c>
      <c r="C21" s="274"/>
    </row>
    <row r="22" spans="1:3" s="388" customFormat="1" ht="12" customHeight="1">
      <c r="A22" s="14" t="s">
        <v>108</v>
      </c>
      <c r="B22" s="390" t="s">
        <v>562</v>
      </c>
      <c r="C22" s="274"/>
    </row>
    <row r="23" spans="1:3" s="388" customFormat="1" ht="12" customHeight="1" thickBot="1">
      <c r="A23" s="16" t="s">
        <v>117</v>
      </c>
      <c r="B23" s="269" t="s">
        <v>254</v>
      </c>
      <c r="C23" s="276"/>
    </row>
    <row r="24" spans="1:3" s="388" customFormat="1" ht="12" customHeight="1" thickBot="1">
      <c r="A24" s="20" t="s">
        <v>20</v>
      </c>
      <c r="B24" s="21" t="s">
        <v>255</v>
      </c>
      <c r="C24" s="272">
        <f>+C25+C26+C27+C28+C29</f>
        <v>0</v>
      </c>
    </row>
    <row r="25" spans="1:3" s="388" customFormat="1" ht="12" customHeight="1">
      <c r="A25" s="15" t="s">
        <v>87</v>
      </c>
      <c r="B25" s="389" t="s">
        <v>256</v>
      </c>
      <c r="C25" s="275"/>
    </row>
    <row r="26" spans="1:3" s="388" customFormat="1" ht="12" customHeight="1">
      <c r="A26" s="14" t="s">
        <v>88</v>
      </c>
      <c r="B26" s="390" t="s">
        <v>257</v>
      </c>
      <c r="C26" s="274"/>
    </row>
    <row r="27" spans="1:3" s="388" customFormat="1" ht="12" customHeight="1">
      <c r="A27" s="14" t="s">
        <v>89</v>
      </c>
      <c r="B27" s="390" t="s">
        <v>415</v>
      </c>
      <c r="C27" s="274"/>
    </row>
    <row r="28" spans="1:3" s="388" customFormat="1" ht="12" customHeight="1">
      <c r="A28" s="14" t="s">
        <v>90</v>
      </c>
      <c r="B28" s="390" t="s">
        <v>416</v>
      </c>
      <c r="C28" s="274"/>
    </row>
    <row r="29" spans="1:3" s="388" customFormat="1" ht="12" customHeight="1">
      <c r="A29" s="14" t="s">
        <v>169</v>
      </c>
      <c r="B29" s="390" t="s">
        <v>258</v>
      </c>
      <c r="C29" s="274"/>
    </row>
    <row r="30" spans="1:3" s="526" customFormat="1" ht="12" customHeight="1" thickBot="1">
      <c r="A30" s="536" t="s">
        <v>170</v>
      </c>
      <c r="B30" s="524" t="s">
        <v>557</v>
      </c>
      <c r="C30" s="525"/>
    </row>
    <row r="31" spans="1:3" s="388" customFormat="1" ht="12" customHeight="1" thickBot="1">
      <c r="A31" s="20" t="s">
        <v>171</v>
      </c>
      <c r="B31" s="21" t="s">
        <v>542</v>
      </c>
      <c r="C31" s="278">
        <f>SUM(C32:C38)</f>
        <v>832000000</v>
      </c>
    </row>
    <row r="32" spans="1:3" s="388" customFormat="1" ht="12" customHeight="1">
      <c r="A32" s="15" t="s">
        <v>261</v>
      </c>
      <c r="B32" s="389" t="str">
        <f>'KV_1.1.sz.mell.'!B32</f>
        <v>Építményadó</v>
      </c>
      <c r="C32" s="275">
        <f>'KV_9.1.3.sz.mell'!C30</f>
        <v>211000000</v>
      </c>
    </row>
    <row r="33" spans="1:3" s="388" customFormat="1" ht="12" customHeight="1">
      <c r="A33" s="14" t="s">
        <v>262</v>
      </c>
      <c r="B33" s="389" t="str">
        <f>'KV_1.1.sz.mell.'!B33</f>
        <v>Telekadó</v>
      </c>
      <c r="C33" s="275">
        <f>'KV_9.1.3.sz.mell'!C31</f>
        <v>135000000</v>
      </c>
    </row>
    <row r="34" spans="1:3" s="388" customFormat="1" ht="12" customHeight="1">
      <c r="A34" s="14" t="s">
        <v>263</v>
      </c>
      <c r="B34" s="389" t="str">
        <f>'KV_1.1.sz.mell.'!B34</f>
        <v>Iparűzési adó</v>
      </c>
      <c r="C34" s="275">
        <f>'KV_9.1.3.sz.mell'!C32</f>
        <v>480000000</v>
      </c>
    </row>
    <row r="35" spans="1:3" s="388" customFormat="1" ht="12" customHeight="1">
      <c r="A35" s="14" t="s">
        <v>264</v>
      </c>
      <c r="B35" s="389" t="str">
        <f>'KV_1.1.sz.mell.'!B35</f>
        <v>Talajterhelési díj</v>
      </c>
      <c r="C35" s="275">
        <f>'KV_9.1.3.sz.mell'!C33</f>
        <v>2000000</v>
      </c>
    </row>
    <row r="36" spans="1:3" s="388" customFormat="1" ht="12" customHeight="1">
      <c r="A36" s="14" t="s">
        <v>543</v>
      </c>
      <c r="B36" s="389" t="str">
        <f>'KV_1.1.sz.mell.'!B36</f>
        <v>Gépjárműadó</v>
      </c>
      <c r="C36" s="275">
        <f>'KV_9.1.3.sz.mell'!C34</f>
        <v>0</v>
      </c>
    </row>
    <row r="37" spans="1:3" s="388" customFormat="1" ht="12" customHeight="1">
      <c r="A37" s="14" t="s">
        <v>544</v>
      </c>
      <c r="B37" s="389" t="str">
        <f>'KV_1.1.sz.mell.'!B37</f>
        <v>Adópótlék, adóbírság</v>
      </c>
      <c r="C37" s="275">
        <f>'KV_9.1.3.sz.mell'!C35</f>
        <v>4000000</v>
      </c>
    </row>
    <row r="38" spans="1:3" s="388" customFormat="1" ht="12" customHeight="1" thickBot="1">
      <c r="A38" s="16" t="s">
        <v>545</v>
      </c>
      <c r="B38" s="389" t="str">
        <f>'KV_1.1.sz.mell.'!B38</f>
        <v>Egyéb  közhatalmi bevételek</v>
      </c>
      <c r="C38" s="275">
        <f>'KV_9.1.3.sz.mell'!C36</f>
        <v>0</v>
      </c>
    </row>
    <row r="39" spans="1:3" s="388" customFormat="1" ht="12" customHeight="1" thickBot="1">
      <c r="A39" s="20" t="s">
        <v>22</v>
      </c>
      <c r="B39" s="21" t="s">
        <v>425</v>
      </c>
      <c r="C39" s="272">
        <f>SUM(C40:C50)</f>
        <v>0</v>
      </c>
    </row>
    <row r="40" spans="1:3" s="388" customFormat="1" ht="12" customHeight="1">
      <c r="A40" s="15" t="s">
        <v>91</v>
      </c>
      <c r="B40" s="389" t="s">
        <v>268</v>
      </c>
      <c r="C40" s="275"/>
    </row>
    <row r="41" spans="1:3" s="388" customFormat="1" ht="12" customHeight="1">
      <c r="A41" s="14" t="s">
        <v>92</v>
      </c>
      <c r="B41" s="390" t="s">
        <v>269</v>
      </c>
      <c r="C41" s="274"/>
    </row>
    <row r="42" spans="1:3" s="388" customFormat="1" ht="12" customHeight="1">
      <c r="A42" s="14" t="s">
        <v>93</v>
      </c>
      <c r="B42" s="390" t="s">
        <v>270</v>
      </c>
      <c r="C42" s="274"/>
    </row>
    <row r="43" spans="1:3" s="388" customFormat="1" ht="12" customHeight="1">
      <c r="A43" s="14" t="s">
        <v>173</v>
      </c>
      <c r="B43" s="390" t="s">
        <v>271</v>
      </c>
      <c r="C43" s="274"/>
    </row>
    <row r="44" spans="1:3" s="388" customFormat="1" ht="12" customHeight="1">
      <c r="A44" s="14" t="s">
        <v>174</v>
      </c>
      <c r="B44" s="390" t="s">
        <v>272</v>
      </c>
      <c r="C44" s="274"/>
    </row>
    <row r="45" spans="1:3" s="388" customFormat="1" ht="12" customHeight="1">
      <c r="A45" s="14" t="s">
        <v>175</v>
      </c>
      <c r="B45" s="390" t="s">
        <v>273</v>
      </c>
      <c r="C45" s="274"/>
    </row>
    <row r="46" spans="1:3" s="388" customFormat="1" ht="12" customHeight="1">
      <c r="A46" s="14" t="s">
        <v>176</v>
      </c>
      <c r="B46" s="390" t="s">
        <v>274</v>
      </c>
      <c r="C46" s="274"/>
    </row>
    <row r="47" spans="1:3" s="388" customFormat="1" ht="12" customHeight="1">
      <c r="A47" s="14" t="s">
        <v>177</v>
      </c>
      <c r="B47" s="390" t="s">
        <v>549</v>
      </c>
      <c r="C47" s="274"/>
    </row>
    <row r="48" spans="1:3" s="388" customFormat="1" ht="12" customHeight="1">
      <c r="A48" s="14" t="s">
        <v>266</v>
      </c>
      <c r="B48" s="390" t="s">
        <v>276</v>
      </c>
      <c r="C48" s="277"/>
    </row>
    <row r="49" spans="1:3" s="388" customFormat="1" ht="12" customHeight="1">
      <c r="A49" s="16" t="s">
        <v>267</v>
      </c>
      <c r="B49" s="391" t="s">
        <v>427</v>
      </c>
      <c r="C49" s="377"/>
    </row>
    <row r="50" spans="1:3" s="388" customFormat="1" ht="12" customHeight="1" thickBot="1">
      <c r="A50" s="16" t="s">
        <v>426</v>
      </c>
      <c r="B50" s="269" t="s">
        <v>277</v>
      </c>
      <c r="C50" s="377"/>
    </row>
    <row r="51" spans="1:3" s="388" customFormat="1" ht="12" customHeight="1" thickBot="1">
      <c r="A51" s="20" t="s">
        <v>23</v>
      </c>
      <c r="B51" s="21" t="s">
        <v>278</v>
      </c>
      <c r="C51" s="272">
        <f>SUM(C52:C56)</f>
        <v>0</v>
      </c>
    </row>
    <row r="52" spans="1:3" s="388" customFormat="1" ht="12" customHeight="1">
      <c r="A52" s="15" t="s">
        <v>94</v>
      </c>
      <c r="B52" s="389" t="s">
        <v>282</v>
      </c>
      <c r="C52" s="433"/>
    </row>
    <row r="53" spans="1:3" s="388" customFormat="1" ht="12" customHeight="1">
      <c r="A53" s="14" t="s">
        <v>95</v>
      </c>
      <c r="B53" s="390" t="s">
        <v>283</v>
      </c>
      <c r="C53" s="277"/>
    </row>
    <row r="54" spans="1:3" s="388" customFormat="1" ht="12" customHeight="1">
      <c r="A54" s="14" t="s">
        <v>279</v>
      </c>
      <c r="B54" s="390" t="s">
        <v>284</v>
      </c>
      <c r="C54" s="277"/>
    </row>
    <row r="55" spans="1:3" s="388" customFormat="1" ht="12" customHeight="1">
      <c r="A55" s="14" t="s">
        <v>280</v>
      </c>
      <c r="B55" s="390" t="s">
        <v>285</v>
      </c>
      <c r="C55" s="277"/>
    </row>
    <row r="56" spans="1:3" s="388" customFormat="1" ht="12" customHeight="1" thickBot="1">
      <c r="A56" s="16" t="s">
        <v>281</v>
      </c>
      <c r="B56" s="269" t="s">
        <v>286</v>
      </c>
      <c r="C56" s="377"/>
    </row>
    <row r="57" spans="1:3" s="388" customFormat="1" ht="12" customHeight="1" thickBot="1">
      <c r="A57" s="20" t="s">
        <v>178</v>
      </c>
      <c r="B57" s="21" t="s">
        <v>287</v>
      </c>
      <c r="C57" s="272">
        <f>SUM(C58:C60)</f>
        <v>0</v>
      </c>
    </row>
    <row r="58" spans="1:3" s="388" customFormat="1" ht="12" customHeight="1">
      <c r="A58" s="15" t="s">
        <v>96</v>
      </c>
      <c r="B58" s="389" t="s">
        <v>288</v>
      </c>
      <c r="C58" s="275"/>
    </row>
    <row r="59" spans="1:3" s="388" customFormat="1" ht="12" customHeight="1">
      <c r="A59" s="14" t="s">
        <v>97</v>
      </c>
      <c r="B59" s="390" t="s">
        <v>417</v>
      </c>
      <c r="C59" s="274"/>
    </row>
    <row r="60" spans="1:3" s="388" customFormat="1" ht="12" customHeight="1">
      <c r="A60" s="14" t="s">
        <v>291</v>
      </c>
      <c r="B60" s="390" t="s">
        <v>289</v>
      </c>
      <c r="C60" s="274"/>
    </row>
    <row r="61" spans="1:3" s="388" customFormat="1" ht="12" customHeight="1" thickBot="1">
      <c r="A61" s="16" t="s">
        <v>292</v>
      </c>
      <c r="B61" s="269" t="s">
        <v>290</v>
      </c>
      <c r="C61" s="276"/>
    </row>
    <row r="62" spans="1:3" s="388" customFormat="1" ht="12" customHeight="1" thickBot="1">
      <c r="A62" s="20" t="s">
        <v>25</v>
      </c>
      <c r="B62" s="267" t="s">
        <v>293</v>
      </c>
      <c r="C62" s="272">
        <f>SUM(C63:C65)</f>
        <v>0</v>
      </c>
    </row>
    <row r="63" spans="1:3" s="388" customFormat="1" ht="12" customHeight="1">
      <c r="A63" s="15" t="s">
        <v>179</v>
      </c>
      <c r="B63" s="389" t="s">
        <v>295</v>
      </c>
      <c r="C63" s="277"/>
    </row>
    <row r="64" spans="1:3" s="388" customFormat="1" ht="12" customHeight="1">
      <c r="A64" s="14" t="s">
        <v>180</v>
      </c>
      <c r="B64" s="390" t="s">
        <v>418</v>
      </c>
      <c r="C64" s="277"/>
    </row>
    <row r="65" spans="1:3" s="388" customFormat="1" ht="12" customHeight="1">
      <c r="A65" s="14" t="s">
        <v>224</v>
      </c>
      <c r="B65" s="390" t="s">
        <v>296</v>
      </c>
      <c r="C65" s="277"/>
    </row>
    <row r="66" spans="1:3" s="388" customFormat="1" ht="12" customHeight="1" thickBot="1">
      <c r="A66" s="16" t="s">
        <v>294</v>
      </c>
      <c r="B66" s="269" t="s">
        <v>297</v>
      </c>
      <c r="C66" s="277"/>
    </row>
    <row r="67" spans="1:3" s="388" customFormat="1" ht="12" customHeight="1" thickBot="1">
      <c r="A67" s="460" t="s">
        <v>467</v>
      </c>
      <c r="B67" s="21" t="s">
        <v>298</v>
      </c>
      <c r="C67" s="278">
        <f>+C10+C17+C24+C31+C39+C51+C57+C62</f>
        <v>832000000</v>
      </c>
    </row>
    <row r="68" spans="1:3" s="388" customFormat="1" ht="12" customHeight="1" thickBot="1">
      <c r="A68" s="436" t="s">
        <v>299</v>
      </c>
      <c r="B68" s="267" t="s">
        <v>300</v>
      </c>
      <c r="C68" s="272">
        <f>SUM(C69:C71)</f>
        <v>0</v>
      </c>
    </row>
    <row r="69" spans="1:3" s="388" customFormat="1" ht="12" customHeight="1">
      <c r="A69" s="15" t="s">
        <v>328</v>
      </c>
      <c r="B69" s="389" t="s">
        <v>301</v>
      </c>
      <c r="C69" s="277"/>
    </row>
    <row r="70" spans="1:3" s="388" customFormat="1" ht="12" customHeight="1">
      <c r="A70" s="14" t="s">
        <v>337</v>
      </c>
      <c r="B70" s="390" t="s">
        <v>302</v>
      </c>
      <c r="C70" s="277"/>
    </row>
    <row r="71" spans="1:3" s="388" customFormat="1" ht="12" customHeight="1" thickBot="1">
      <c r="A71" s="16" t="s">
        <v>338</v>
      </c>
      <c r="B71" s="454" t="s">
        <v>558</v>
      </c>
      <c r="C71" s="277"/>
    </row>
    <row r="72" spans="1:3" s="388" customFormat="1" ht="12" customHeight="1" thickBot="1">
      <c r="A72" s="436" t="s">
        <v>304</v>
      </c>
      <c r="B72" s="267" t="s">
        <v>305</v>
      </c>
      <c r="C72" s="272">
        <f>SUM(C73:C76)</f>
        <v>0</v>
      </c>
    </row>
    <row r="73" spans="1:3" s="388" customFormat="1" ht="12" customHeight="1">
      <c r="A73" s="15" t="s">
        <v>147</v>
      </c>
      <c r="B73" s="389" t="s">
        <v>306</v>
      </c>
      <c r="C73" s="277"/>
    </row>
    <row r="74" spans="1:3" s="388" customFormat="1" ht="12" customHeight="1">
      <c r="A74" s="14" t="s">
        <v>148</v>
      </c>
      <c r="B74" s="390" t="s">
        <v>559</v>
      </c>
      <c r="C74" s="277"/>
    </row>
    <row r="75" spans="1:3" s="388" customFormat="1" ht="12" customHeight="1" thickBot="1">
      <c r="A75" s="16" t="s">
        <v>329</v>
      </c>
      <c r="B75" s="391" t="s">
        <v>307</v>
      </c>
      <c r="C75" s="377"/>
    </row>
    <row r="76" spans="1:3" s="388" customFormat="1" ht="12" customHeight="1" thickBot="1">
      <c r="A76" s="538" t="s">
        <v>330</v>
      </c>
      <c r="B76" s="539" t="s">
        <v>560</v>
      </c>
      <c r="C76" s="540"/>
    </row>
    <row r="77" spans="1:3" s="388" customFormat="1" ht="12" customHeight="1" thickBot="1">
      <c r="A77" s="436" t="s">
        <v>308</v>
      </c>
      <c r="B77" s="267" t="s">
        <v>309</v>
      </c>
      <c r="C77" s="272">
        <f>SUM(C78:C79)</f>
        <v>0</v>
      </c>
    </row>
    <row r="78" spans="1:3" s="388" customFormat="1" ht="12" customHeight="1" thickBot="1">
      <c r="A78" s="13" t="s">
        <v>331</v>
      </c>
      <c r="B78" s="537" t="s">
        <v>310</v>
      </c>
      <c r="C78" s="377"/>
    </row>
    <row r="79" spans="1:3" s="388" customFormat="1" ht="12" customHeight="1" thickBot="1">
      <c r="A79" s="538" t="s">
        <v>332</v>
      </c>
      <c r="B79" s="539" t="s">
        <v>311</v>
      </c>
      <c r="C79" s="540"/>
    </row>
    <row r="80" spans="1:3" s="388" customFormat="1" ht="12" customHeight="1" thickBot="1">
      <c r="A80" s="436" t="s">
        <v>312</v>
      </c>
      <c r="B80" s="267" t="s">
        <v>313</v>
      </c>
      <c r="C80" s="272">
        <f>SUM(C81:C83)</f>
        <v>0</v>
      </c>
    </row>
    <row r="81" spans="1:3" s="388" customFormat="1" ht="12" customHeight="1">
      <c r="A81" s="15" t="s">
        <v>333</v>
      </c>
      <c r="B81" s="389" t="s">
        <v>314</v>
      </c>
      <c r="C81" s="277"/>
    </row>
    <row r="82" spans="1:3" s="388" customFormat="1" ht="12" customHeight="1">
      <c r="A82" s="14" t="s">
        <v>334</v>
      </c>
      <c r="B82" s="390" t="s">
        <v>315</v>
      </c>
      <c r="C82" s="277"/>
    </row>
    <row r="83" spans="1:3" s="388" customFormat="1" ht="12" customHeight="1" thickBot="1">
      <c r="A83" s="18" t="s">
        <v>335</v>
      </c>
      <c r="B83" s="541" t="s">
        <v>561</v>
      </c>
      <c r="C83" s="542"/>
    </row>
    <row r="84" spans="1:3" s="388" customFormat="1" ht="12" customHeight="1" thickBot="1">
      <c r="A84" s="436" t="s">
        <v>316</v>
      </c>
      <c r="B84" s="267" t="s">
        <v>336</v>
      </c>
      <c r="C84" s="272">
        <f>SUM(C85:C88)</f>
        <v>0</v>
      </c>
    </row>
    <row r="85" spans="1:3" s="388" customFormat="1" ht="12" customHeight="1">
      <c r="A85" s="393" t="s">
        <v>317</v>
      </c>
      <c r="B85" s="389" t="s">
        <v>318</v>
      </c>
      <c r="C85" s="277"/>
    </row>
    <row r="86" spans="1:3" s="388" customFormat="1" ht="12" customHeight="1">
      <c r="A86" s="394" t="s">
        <v>319</v>
      </c>
      <c r="B86" s="390" t="s">
        <v>320</v>
      </c>
      <c r="C86" s="277"/>
    </row>
    <row r="87" spans="1:3" s="388" customFormat="1" ht="12" customHeight="1">
      <c r="A87" s="394" t="s">
        <v>321</v>
      </c>
      <c r="B87" s="390" t="s">
        <v>322</v>
      </c>
      <c r="C87" s="277"/>
    </row>
    <row r="88" spans="1:3" s="388" customFormat="1" ht="12" customHeight="1" thickBot="1">
      <c r="A88" s="395" t="s">
        <v>323</v>
      </c>
      <c r="B88" s="269" t="s">
        <v>324</v>
      </c>
      <c r="C88" s="277"/>
    </row>
    <row r="89" spans="1:3" s="388" customFormat="1" ht="12" customHeight="1" thickBot="1">
      <c r="A89" s="436" t="s">
        <v>325</v>
      </c>
      <c r="B89" s="267" t="s">
        <v>466</v>
      </c>
      <c r="C89" s="434"/>
    </row>
    <row r="90" spans="1:3" s="388" customFormat="1" ht="13.5" customHeight="1" thickBot="1">
      <c r="A90" s="436" t="s">
        <v>327</v>
      </c>
      <c r="B90" s="267" t="s">
        <v>326</v>
      </c>
      <c r="C90" s="434"/>
    </row>
    <row r="91" spans="1:3" s="388" customFormat="1" ht="15.75" customHeight="1" thickBot="1">
      <c r="A91" s="436" t="s">
        <v>339</v>
      </c>
      <c r="B91" s="396" t="s">
        <v>469</v>
      </c>
      <c r="C91" s="278">
        <f>+C68+C72+C77+C80+C84+C90+C89</f>
        <v>0</v>
      </c>
    </row>
    <row r="92" spans="1:3" s="388" customFormat="1" ht="16.5" customHeight="1" thickBot="1">
      <c r="A92" s="437" t="s">
        <v>468</v>
      </c>
      <c r="B92" s="397" t="s">
        <v>470</v>
      </c>
      <c r="C92" s="278">
        <f>+C67+C91</f>
        <v>832000000</v>
      </c>
    </row>
    <row r="93" spans="1:3" s="388" customFormat="1" ht="10.5" customHeight="1">
      <c r="A93" s="5"/>
      <c r="B93" s="6"/>
      <c r="C93" s="279"/>
    </row>
    <row r="94" spans="1:3" ht="16.5" customHeight="1">
      <c r="A94" s="743" t="s">
        <v>47</v>
      </c>
      <c r="B94" s="743"/>
      <c r="C94" s="743"/>
    </row>
    <row r="95" spans="1:3" s="398" customFormat="1" ht="16.5" customHeight="1" thickBot="1">
      <c r="A95" s="740" t="s">
        <v>151</v>
      </c>
      <c r="B95" s="740"/>
      <c r="C95" s="549" t="str">
        <f>C7</f>
        <v>Forintban!</v>
      </c>
    </row>
    <row r="96" spans="1:3" ht="30" customHeight="1" thickBot="1">
      <c r="A96" s="530" t="s">
        <v>69</v>
      </c>
      <c r="B96" s="531" t="s">
        <v>48</v>
      </c>
      <c r="C96" s="532" t="str">
        <f>+C8</f>
        <v>2021. évi előirányzat</v>
      </c>
    </row>
    <row r="97" spans="1:3" s="387" customFormat="1" ht="12" customHeight="1" thickBot="1">
      <c r="A97" s="530"/>
      <c r="B97" s="531" t="s">
        <v>484</v>
      </c>
      <c r="C97" s="532" t="s">
        <v>485</v>
      </c>
    </row>
    <row r="98" spans="1:3" ht="12" customHeight="1" thickBot="1">
      <c r="A98" s="22" t="s">
        <v>18</v>
      </c>
      <c r="B98" s="28" t="s">
        <v>428</v>
      </c>
      <c r="C98" s="271">
        <f>C99+C100+C101+C102+C103+C116</f>
        <v>0</v>
      </c>
    </row>
    <row r="99" spans="1:3" ht="12" customHeight="1">
      <c r="A99" s="17" t="s">
        <v>98</v>
      </c>
      <c r="B99" s="10" t="s">
        <v>49</v>
      </c>
      <c r="C99" s="273"/>
    </row>
    <row r="100" spans="1:3" ht="12" customHeight="1">
      <c r="A100" s="14" t="s">
        <v>99</v>
      </c>
      <c r="B100" s="8" t="s">
        <v>181</v>
      </c>
      <c r="C100" s="274"/>
    </row>
    <row r="101" spans="1:3" ht="12" customHeight="1">
      <c r="A101" s="14" t="s">
        <v>100</v>
      </c>
      <c r="B101" s="8" t="s">
        <v>138</v>
      </c>
      <c r="C101" s="276"/>
    </row>
    <row r="102" spans="1:3" ht="12" customHeight="1">
      <c r="A102" s="14" t="s">
        <v>101</v>
      </c>
      <c r="B102" s="11" t="s">
        <v>182</v>
      </c>
      <c r="C102" s="276"/>
    </row>
    <row r="103" spans="1:3" ht="12" customHeight="1">
      <c r="A103" s="14" t="s">
        <v>112</v>
      </c>
      <c r="B103" s="19" t="s">
        <v>183</v>
      </c>
      <c r="C103" s="276"/>
    </row>
    <row r="104" spans="1:3" ht="12" customHeight="1">
      <c r="A104" s="14" t="s">
        <v>102</v>
      </c>
      <c r="B104" s="8" t="s">
        <v>433</v>
      </c>
      <c r="C104" s="276"/>
    </row>
    <row r="105" spans="1:3" ht="12" customHeight="1">
      <c r="A105" s="14" t="s">
        <v>103</v>
      </c>
      <c r="B105" s="139" t="s">
        <v>432</v>
      </c>
      <c r="C105" s="276"/>
    </row>
    <row r="106" spans="1:3" ht="12" customHeight="1">
      <c r="A106" s="14" t="s">
        <v>113</v>
      </c>
      <c r="B106" s="139" t="s">
        <v>431</v>
      </c>
      <c r="C106" s="276"/>
    </row>
    <row r="107" spans="1:3" ht="12" customHeight="1">
      <c r="A107" s="14" t="s">
        <v>114</v>
      </c>
      <c r="B107" s="137" t="s">
        <v>342</v>
      </c>
      <c r="C107" s="276"/>
    </row>
    <row r="108" spans="1:3" ht="12" customHeight="1">
      <c r="A108" s="14" t="s">
        <v>115</v>
      </c>
      <c r="B108" s="138" t="s">
        <v>343</v>
      </c>
      <c r="C108" s="276"/>
    </row>
    <row r="109" spans="1:3" ht="12" customHeight="1">
      <c r="A109" s="14" t="s">
        <v>116</v>
      </c>
      <c r="B109" s="138" t="s">
        <v>344</v>
      </c>
      <c r="C109" s="276"/>
    </row>
    <row r="110" spans="1:3" ht="12" customHeight="1">
      <c r="A110" s="14" t="s">
        <v>118</v>
      </c>
      <c r="B110" s="137" t="s">
        <v>345</v>
      </c>
      <c r="C110" s="276"/>
    </row>
    <row r="111" spans="1:3" ht="12" customHeight="1">
      <c r="A111" s="14" t="s">
        <v>184</v>
      </c>
      <c r="B111" s="137" t="s">
        <v>346</v>
      </c>
      <c r="C111" s="276"/>
    </row>
    <row r="112" spans="1:3" ht="12" customHeight="1">
      <c r="A112" s="14" t="s">
        <v>340</v>
      </c>
      <c r="B112" s="138" t="s">
        <v>347</v>
      </c>
      <c r="C112" s="276"/>
    </row>
    <row r="113" spans="1:3" ht="12" customHeight="1">
      <c r="A113" s="13" t="s">
        <v>341</v>
      </c>
      <c r="B113" s="139" t="s">
        <v>348</v>
      </c>
      <c r="C113" s="276"/>
    </row>
    <row r="114" spans="1:3" ht="12" customHeight="1">
      <c r="A114" s="14" t="s">
        <v>429</v>
      </c>
      <c r="B114" s="139" t="s">
        <v>349</v>
      </c>
      <c r="C114" s="276"/>
    </row>
    <row r="115" spans="1:3" ht="12" customHeight="1">
      <c r="A115" s="16" t="s">
        <v>430</v>
      </c>
      <c r="B115" s="139" t="s">
        <v>350</v>
      </c>
      <c r="C115" s="276"/>
    </row>
    <row r="116" spans="1:3" ht="12" customHeight="1">
      <c r="A116" s="14" t="s">
        <v>434</v>
      </c>
      <c r="B116" s="11" t="s">
        <v>50</v>
      </c>
      <c r="C116" s="274"/>
    </row>
    <row r="117" spans="1:3" ht="12" customHeight="1">
      <c r="A117" s="14" t="s">
        <v>435</v>
      </c>
      <c r="B117" s="8" t="s">
        <v>437</v>
      </c>
      <c r="C117" s="274"/>
    </row>
    <row r="118" spans="1:3" ht="12" customHeight="1" thickBot="1">
      <c r="A118" s="18" t="s">
        <v>436</v>
      </c>
      <c r="B118" s="458" t="s">
        <v>438</v>
      </c>
      <c r="C118" s="280"/>
    </row>
    <row r="119" spans="1:3" ht="12" customHeight="1" thickBot="1">
      <c r="A119" s="455" t="s">
        <v>19</v>
      </c>
      <c r="B119" s="456" t="s">
        <v>351</v>
      </c>
      <c r="C119" s="457">
        <f>+C120+C122+C124</f>
        <v>0</v>
      </c>
    </row>
    <row r="120" spans="1:3" ht="12" customHeight="1">
      <c r="A120" s="15" t="s">
        <v>104</v>
      </c>
      <c r="B120" s="8" t="s">
        <v>223</v>
      </c>
      <c r="C120" s="275"/>
    </row>
    <row r="121" spans="1:3" ht="12" customHeight="1">
      <c r="A121" s="15" t="s">
        <v>105</v>
      </c>
      <c r="B121" s="12" t="s">
        <v>355</v>
      </c>
      <c r="C121" s="275"/>
    </row>
    <row r="122" spans="1:3" ht="12" customHeight="1">
      <c r="A122" s="15" t="s">
        <v>106</v>
      </c>
      <c r="B122" s="12" t="s">
        <v>185</v>
      </c>
      <c r="C122" s="274"/>
    </row>
    <row r="123" spans="1:3" ht="12" customHeight="1">
      <c r="A123" s="15" t="s">
        <v>107</v>
      </c>
      <c r="B123" s="12" t="s">
        <v>356</v>
      </c>
      <c r="C123" s="240"/>
    </row>
    <row r="124" spans="1:3" ht="12" customHeight="1">
      <c r="A124" s="15" t="s">
        <v>108</v>
      </c>
      <c r="B124" s="269" t="s">
        <v>563</v>
      </c>
      <c r="C124" s="240"/>
    </row>
    <row r="125" spans="1:3" ht="12" customHeight="1">
      <c r="A125" s="15" t="s">
        <v>117</v>
      </c>
      <c r="B125" s="268" t="s">
        <v>419</v>
      </c>
      <c r="C125" s="240"/>
    </row>
    <row r="126" spans="1:3" ht="12" customHeight="1">
      <c r="A126" s="15" t="s">
        <v>119</v>
      </c>
      <c r="B126" s="385" t="s">
        <v>361</v>
      </c>
      <c r="C126" s="240"/>
    </row>
    <row r="127" spans="1:3" ht="15.75">
      <c r="A127" s="15" t="s">
        <v>186</v>
      </c>
      <c r="B127" s="138" t="s">
        <v>344</v>
      </c>
      <c r="C127" s="240"/>
    </row>
    <row r="128" spans="1:3" ht="12" customHeight="1">
      <c r="A128" s="15" t="s">
        <v>187</v>
      </c>
      <c r="B128" s="138" t="s">
        <v>360</v>
      </c>
      <c r="C128" s="240"/>
    </row>
    <row r="129" spans="1:3" ht="12" customHeight="1">
      <c r="A129" s="15" t="s">
        <v>188</v>
      </c>
      <c r="B129" s="138" t="s">
        <v>359</v>
      </c>
      <c r="C129" s="240"/>
    </row>
    <row r="130" spans="1:3" ht="12" customHeight="1">
      <c r="A130" s="15" t="s">
        <v>352</v>
      </c>
      <c r="B130" s="138" t="s">
        <v>347</v>
      </c>
      <c r="C130" s="240"/>
    </row>
    <row r="131" spans="1:3" ht="12" customHeight="1">
      <c r="A131" s="15" t="s">
        <v>353</v>
      </c>
      <c r="B131" s="138" t="s">
        <v>358</v>
      </c>
      <c r="C131" s="240"/>
    </row>
    <row r="132" spans="1:3" ht="16.5" thickBot="1">
      <c r="A132" s="13" t="s">
        <v>354</v>
      </c>
      <c r="B132" s="138" t="s">
        <v>357</v>
      </c>
      <c r="C132" s="242"/>
    </row>
    <row r="133" spans="1:3" ht="12" customHeight="1" thickBot="1">
      <c r="A133" s="20" t="s">
        <v>20</v>
      </c>
      <c r="B133" s="119" t="s">
        <v>439</v>
      </c>
      <c r="C133" s="272">
        <f>+C98+C119</f>
        <v>0</v>
      </c>
    </row>
    <row r="134" spans="1:3" ht="12" customHeight="1" thickBot="1">
      <c r="A134" s="20" t="s">
        <v>21</v>
      </c>
      <c r="B134" s="119" t="s">
        <v>440</v>
      </c>
      <c r="C134" s="272">
        <f>+C135+C136+C137</f>
        <v>0</v>
      </c>
    </row>
    <row r="135" spans="1:3" ht="12" customHeight="1">
      <c r="A135" s="15" t="s">
        <v>261</v>
      </c>
      <c r="B135" s="12" t="s">
        <v>447</v>
      </c>
      <c r="C135" s="240"/>
    </row>
    <row r="136" spans="1:3" ht="12" customHeight="1">
      <c r="A136" s="15" t="s">
        <v>262</v>
      </c>
      <c r="B136" s="12" t="s">
        <v>448</v>
      </c>
      <c r="C136" s="240"/>
    </row>
    <row r="137" spans="1:3" ht="12" customHeight="1" thickBot="1">
      <c r="A137" s="13" t="s">
        <v>263</v>
      </c>
      <c r="B137" s="12" t="s">
        <v>449</v>
      </c>
      <c r="C137" s="240"/>
    </row>
    <row r="138" spans="1:3" ht="12" customHeight="1" thickBot="1">
      <c r="A138" s="20" t="s">
        <v>22</v>
      </c>
      <c r="B138" s="119" t="s">
        <v>441</v>
      </c>
      <c r="C138" s="272">
        <f>SUM(C139:C144)</f>
        <v>0</v>
      </c>
    </row>
    <row r="139" spans="1:3" ht="12" customHeight="1">
      <c r="A139" s="15" t="s">
        <v>91</v>
      </c>
      <c r="B139" s="9" t="s">
        <v>450</v>
      </c>
      <c r="C139" s="240"/>
    </row>
    <row r="140" spans="1:3" ht="12" customHeight="1">
      <c r="A140" s="15" t="s">
        <v>92</v>
      </c>
      <c r="B140" s="9" t="s">
        <v>442</v>
      </c>
      <c r="C140" s="240"/>
    </row>
    <row r="141" spans="1:3" ht="12" customHeight="1">
      <c r="A141" s="15" t="s">
        <v>93</v>
      </c>
      <c r="B141" s="9" t="s">
        <v>443</v>
      </c>
      <c r="C141" s="240"/>
    </row>
    <row r="142" spans="1:3" ht="12" customHeight="1">
      <c r="A142" s="15" t="s">
        <v>173</v>
      </c>
      <c r="B142" s="9" t="s">
        <v>444</v>
      </c>
      <c r="C142" s="240"/>
    </row>
    <row r="143" spans="1:3" ht="12" customHeight="1">
      <c r="A143" s="13" t="s">
        <v>174</v>
      </c>
      <c r="B143" s="7" t="s">
        <v>445</v>
      </c>
      <c r="C143" s="242"/>
    </row>
    <row r="144" spans="1:3" ht="12" customHeight="1" thickBot="1">
      <c r="A144" s="18" t="s">
        <v>175</v>
      </c>
      <c r="B144" s="688" t="s">
        <v>446</v>
      </c>
      <c r="C144" s="465"/>
    </row>
    <row r="145" spans="1:3" ht="12" customHeight="1" thickBot="1">
      <c r="A145" s="20" t="s">
        <v>23</v>
      </c>
      <c r="B145" s="119" t="s">
        <v>454</v>
      </c>
      <c r="C145" s="278">
        <f>+C146+C147+C148+C149</f>
        <v>0</v>
      </c>
    </row>
    <row r="146" spans="1:3" ht="12" customHeight="1">
      <c r="A146" s="15" t="s">
        <v>94</v>
      </c>
      <c r="B146" s="9" t="s">
        <v>362</v>
      </c>
      <c r="C146" s="240"/>
    </row>
    <row r="147" spans="1:3" ht="12" customHeight="1">
      <c r="A147" s="15" t="s">
        <v>95</v>
      </c>
      <c r="B147" s="9" t="s">
        <v>363</v>
      </c>
      <c r="C147" s="240"/>
    </row>
    <row r="148" spans="1:3" ht="12" customHeight="1" thickBot="1">
      <c r="A148" s="13" t="s">
        <v>279</v>
      </c>
      <c r="B148" s="7" t="s">
        <v>455</v>
      </c>
      <c r="C148" s="242"/>
    </row>
    <row r="149" spans="1:3" ht="12" customHeight="1" thickBot="1">
      <c r="A149" s="538" t="s">
        <v>280</v>
      </c>
      <c r="B149" s="543" t="s">
        <v>381</v>
      </c>
      <c r="C149" s="544"/>
    </row>
    <row r="150" spans="1:3" ht="12" customHeight="1" thickBot="1">
      <c r="A150" s="20" t="s">
        <v>24</v>
      </c>
      <c r="B150" s="119" t="s">
        <v>456</v>
      </c>
      <c r="C150" s="281">
        <f>SUM(C151:C155)</f>
        <v>0</v>
      </c>
    </row>
    <row r="151" spans="1:3" ht="12" customHeight="1">
      <c r="A151" s="15" t="s">
        <v>96</v>
      </c>
      <c r="B151" s="9" t="s">
        <v>451</v>
      </c>
      <c r="C151" s="240"/>
    </row>
    <row r="152" spans="1:3" ht="12" customHeight="1">
      <c r="A152" s="15" t="s">
        <v>97</v>
      </c>
      <c r="B152" s="9" t="s">
        <v>458</v>
      </c>
      <c r="C152" s="240"/>
    </row>
    <row r="153" spans="1:3" ht="12" customHeight="1">
      <c r="A153" s="15" t="s">
        <v>291</v>
      </c>
      <c r="B153" s="9" t="s">
        <v>453</v>
      </c>
      <c r="C153" s="240"/>
    </row>
    <row r="154" spans="1:3" ht="12" customHeight="1">
      <c r="A154" s="15" t="s">
        <v>292</v>
      </c>
      <c r="B154" s="9" t="s">
        <v>509</v>
      </c>
      <c r="C154" s="240"/>
    </row>
    <row r="155" spans="1:3" ht="12" customHeight="1" thickBot="1">
      <c r="A155" s="15" t="s">
        <v>457</v>
      </c>
      <c r="B155" s="9" t="s">
        <v>460</v>
      </c>
      <c r="C155" s="240"/>
    </row>
    <row r="156" spans="1:3" ht="12" customHeight="1" thickBot="1">
      <c r="A156" s="20" t="s">
        <v>25</v>
      </c>
      <c r="B156" s="119" t="s">
        <v>461</v>
      </c>
      <c r="C156" s="459"/>
    </row>
    <row r="157" spans="1:3" ht="12" customHeight="1" thickBot="1">
      <c r="A157" s="20" t="s">
        <v>26</v>
      </c>
      <c r="B157" s="119" t="s">
        <v>462</v>
      </c>
      <c r="C157" s="459"/>
    </row>
    <row r="158" spans="1:9" ht="15" customHeight="1" thickBot="1">
      <c r="A158" s="20" t="s">
        <v>27</v>
      </c>
      <c r="B158" s="119" t="s">
        <v>464</v>
      </c>
      <c r="C158" s="545">
        <f>+C134+C138+C145+C150+C156+C157</f>
        <v>0</v>
      </c>
      <c r="F158" s="400"/>
      <c r="G158" s="401"/>
      <c r="H158" s="401"/>
      <c r="I158" s="401"/>
    </row>
    <row r="159" spans="1:3" s="388" customFormat="1" ht="17.25" customHeight="1" thickBot="1">
      <c r="A159" s="270" t="s">
        <v>28</v>
      </c>
      <c r="B159" s="546" t="s">
        <v>463</v>
      </c>
      <c r="C159" s="545">
        <f>+C133+C158</f>
        <v>0</v>
      </c>
    </row>
    <row r="160" spans="1:3" ht="15.75" customHeight="1">
      <c r="A160" s="547"/>
      <c r="B160" s="547"/>
      <c r="C160" s="605"/>
    </row>
    <row r="161" spans="1:3" ht="15.75">
      <c r="A161" s="741" t="s">
        <v>364</v>
      </c>
      <c r="B161" s="741"/>
      <c r="C161" s="741"/>
    </row>
    <row r="162" spans="1:3" ht="15" customHeight="1" thickBot="1">
      <c r="A162" s="742" t="s">
        <v>152</v>
      </c>
      <c r="B162" s="742"/>
      <c r="C162" s="550" t="str">
        <f>C95</f>
        <v>Forintban!</v>
      </c>
    </row>
    <row r="163" spans="1:4" ht="13.5" customHeight="1" thickBot="1">
      <c r="A163" s="20">
        <v>1</v>
      </c>
      <c r="B163" s="27" t="s">
        <v>465</v>
      </c>
      <c r="C163" s="272">
        <f>+C67-C133</f>
        <v>832000000</v>
      </c>
      <c r="D163" s="402"/>
    </row>
    <row r="164" spans="1:3" ht="27.75" customHeight="1" thickBot="1">
      <c r="A164" s="20" t="s">
        <v>19</v>
      </c>
      <c r="B164" s="27" t="s">
        <v>471</v>
      </c>
      <c r="C164" s="272">
        <f>+C91-C158</f>
        <v>0</v>
      </c>
    </row>
  </sheetData>
  <sheetProtection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33"/>
  <sheetViews>
    <sheetView zoomScale="120" zoomScaleNormal="120" zoomScaleSheetLayoutView="100" workbookViewId="0" topLeftCell="A1">
      <selection activeCell="C21" sqref="C21"/>
    </sheetView>
  </sheetViews>
  <sheetFormatPr defaultColWidth="9.00390625" defaultRowHeight="12.75"/>
  <cols>
    <col min="1" max="1" width="6.875" style="53" customWidth="1"/>
    <col min="2" max="2" width="55.125" style="175" customWidth="1"/>
    <col min="3" max="3" width="16.375" style="53" customWidth="1"/>
    <col min="4" max="4" width="55.125" style="53" customWidth="1"/>
    <col min="5" max="5" width="16.375" style="53" customWidth="1"/>
    <col min="6" max="6" width="4.875" style="53" customWidth="1"/>
    <col min="7" max="16384" width="9.375" style="53" customWidth="1"/>
  </cols>
  <sheetData>
    <row r="1" spans="2:6" ht="39.75" customHeight="1">
      <c r="B1" s="294" t="s">
        <v>156</v>
      </c>
      <c r="C1" s="295"/>
      <c r="D1" s="295"/>
      <c r="E1" s="295"/>
      <c r="F1" s="746" t="str">
        <f>CONCATENATE("2.1. melléklet ",ALAPADATOK!A7," ",ALAPADATOK!B7," ",ALAPADATOK!C7," ",ALAPADATOK!D7," ",ALAPADATOK!E7," ",ALAPADATOK!F7," ",ALAPADATOK!G7," ",ALAPADATOK!H7)</f>
        <v>2.1. melléklet a … / 2021 ( … ) önkormányzati rendelethez</v>
      </c>
    </row>
    <row r="2" spans="5:6" ht="13.5" thickBot="1">
      <c r="E2" s="552" t="str">
        <f>CONCATENATE('KV_1.1.sz.mell.'!C7)</f>
        <v>Forintban!</v>
      </c>
      <c r="F2" s="746"/>
    </row>
    <row r="3" spans="1:6" ht="18" customHeight="1" thickBot="1">
      <c r="A3" s="744" t="s">
        <v>69</v>
      </c>
      <c r="B3" s="296" t="s">
        <v>56</v>
      </c>
      <c r="C3" s="297"/>
      <c r="D3" s="296" t="s">
        <v>57</v>
      </c>
      <c r="E3" s="298"/>
      <c r="F3" s="746"/>
    </row>
    <row r="4" spans="1:6" s="299" customFormat="1" ht="35.25" customHeight="1" thickBot="1">
      <c r="A4" s="745"/>
      <c r="B4" s="176" t="s">
        <v>61</v>
      </c>
      <c r="C4" s="177" t="str">
        <f>+'KV_1.1.sz.mell.'!C8</f>
        <v>2021. évi előirányzat</v>
      </c>
      <c r="D4" s="176" t="s">
        <v>61</v>
      </c>
      <c r="E4" s="50" t="str">
        <f>+C4</f>
        <v>2021. évi előirányzat</v>
      </c>
      <c r="F4" s="746"/>
    </row>
    <row r="5" spans="1:6" s="304" customFormat="1" ht="12" customHeight="1" thickBot="1">
      <c r="A5" s="300"/>
      <c r="B5" s="301" t="s">
        <v>484</v>
      </c>
      <c r="C5" s="302" t="s">
        <v>485</v>
      </c>
      <c r="D5" s="301" t="s">
        <v>486</v>
      </c>
      <c r="E5" s="303" t="s">
        <v>488</v>
      </c>
      <c r="F5" s="746"/>
    </row>
    <row r="6" spans="1:6" ht="12.75" customHeight="1">
      <c r="A6" s="305" t="s">
        <v>18</v>
      </c>
      <c r="B6" s="306" t="s">
        <v>365</v>
      </c>
      <c r="C6" s="283">
        <f>'KV_1.1.sz.mell.'!C10</f>
        <v>497441457</v>
      </c>
      <c r="D6" s="306" t="s">
        <v>62</v>
      </c>
      <c r="E6" s="289">
        <f>'KV_1.1.sz.mell.'!C99</f>
        <v>719820251</v>
      </c>
      <c r="F6" s="746"/>
    </row>
    <row r="7" spans="1:6" ht="12.75" customHeight="1">
      <c r="A7" s="307" t="s">
        <v>19</v>
      </c>
      <c r="B7" s="308" t="s">
        <v>366</v>
      </c>
      <c r="C7" s="284">
        <f>'KV_1.1.sz.mell.'!C17</f>
        <v>44219839</v>
      </c>
      <c r="D7" s="308" t="s">
        <v>181</v>
      </c>
      <c r="E7" s="289">
        <f>'KV_1.1.sz.mell.'!C100</f>
        <v>114113646</v>
      </c>
      <c r="F7" s="746"/>
    </row>
    <row r="8" spans="1:6" ht="12.75" customHeight="1">
      <c r="A8" s="307" t="s">
        <v>20</v>
      </c>
      <c r="B8" s="308" t="s">
        <v>386</v>
      </c>
      <c r="C8" s="284"/>
      <c r="D8" s="308" t="s">
        <v>227</v>
      </c>
      <c r="E8" s="289">
        <f>'KV_1.1.sz.mell.'!C101</f>
        <v>428497989</v>
      </c>
      <c r="F8" s="746"/>
    </row>
    <row r="9" spans="1:6" ht="12.75" customHeight="1">
      <c r="A9" s="307" t="s">
        <v>21</v>
      </c>
      <c r="B9" s="308" t="s">
        <v>172</v>
      </c>
      <c r="C9" s="284">
        <f>'KV_1.1.sz.mell.'!C31</f>
        <v>840000000</v>
      </c>
      <c r="D9" s="308" t="s">
        <v>182</v>
      </c>
      <c r="E9" s="289">
        <f>'KV_1.1.sz.mell.'!C102</f>
        <v>23800000</v>
      </c>
      <c r="F9" s="746"/>
    </row>
    <row r="10" spans="1:6" ht="12.75" customHeight="1">
      <c r="A10" s="307" t="s">
        <v>22</v>
      </c>
      <c r="B10" s="309" t="s">
        <v>412</v>
      </c>
      <c r="C10" s="284">
        <f>'KV_1.1.sz.mell.'!C39</f>
        <v>78526256</v>
      </c>
      <c r="D10" s="308" t="s">
        <v>183</v>
      </c>
      <c r="E10" s="289">
        <f>'KV_1.1.sz.mell.'!C103</f>
        <v>345664475</v>
      </c>
      <c r="F10" s="746"/>
    </row>
    <row r="11" spans="1:6" ht="12.75" customHeight="1">
      <c r="A11" s="307" t="s">
        <v>23</v>
      </c>
      <c r="B11" s="308" t="s">
        <v>367</v>
      </c>
      <c r="C11" s="285">
        <f>'KV_1.1.sz.mell.'!C57</f>
        <v>12000000</v>
      </c>
      <c r="D11" s="308" t="s">
        <v>50</v>
      </c>
      <c r="E11" s="290">
        <f>'KV_1.1.sz.mell.'!C116</f>
        <v>177501854</v>
      </c>
      <c r="F11" s="746"/>
    </row>
    <row r="12" spans="1:6" ht="12.75" customHeight="1">
      <c r="A12" s="307" t="s">
        <v>24</v>
      </c>
      <c r="B12" s="308" t="s">
        <v>472</v>
      </c>
      <c r="C12" s="284"/>
      <c r="D12" s="44"/>
      <c r="E12" s="290"/>
      <c r="F12" s="746"/>
    </row>
    <row r="13" spans="1:6" ht="12.75" customHeight="1">
      <c r="A13" s="307" t="s">
        <v>25</v>
      </c>
      <c r="B13" s="44"/>
      <c r="C13" s="284"/>
      <c r="D13" s="44"/>
      <c r="E13" s="290"/>
      <c r="F13" s="746"/>
    </row>
    <row r="14" spans="1:6" ht="12.75" customHeight="1">
      <c r="A14" s="307" t="s">
        <v>26</v>
      </c>
      <c r="B14" s="403"/>
      <c r="C14" s="285"/>
      <c r="D14" s="44"/>
      <c r="E14" s="290"/>
      <c r="F14" s="746"/>
    </row>
    <row r="15" spans="1:6" ht="12.75" customHeight="1">
      <c r="A15" s="307" t="s">
        <v>27</v>
      </c>
      <c r="B15" s="44"/>
      <c r="C15" s="284"/>
      <c r="D15" s="44"/>
      <c r="E15" s="290"/>
      <c r="F15" s="746"/>
    </row>
    <row r="16" spans="1:6" ht="12.75" customHeight="1">
      <c r="A16" s="307" t="s">
        <v>28</v>
      </c>
      <c r="B16" s="44"/>
      <c r="C16" s="284"/>
      <c r="D16" s="44"/>
      <c r="E16" s="290"/>
      <c r="F16" s="746"/>
    </row>
    <row r="17" spans="1:6" ht="12.75" customHeight="1" thickBot="1">
      <c r="A17" s="307" t="s">
        <v>29</v>
      </c>
      <c r="B17" s="55"/>
      <c r="C17" s="286"/>
      <c r="D17" s="44"/>
      <c r="E17" s="291"/>
      <c r="F17" s="746"/>
    </row>
    <row r="18" spans="1:6" ht="15.75" customHeight="1" thickBot="1">
      <c r="A18" s="310" t="s">
        <v>30</v>
      </c>
      <c r="B18" s="121" t="s">
        <v>473</v>
      </c>
      <c r="C18" s="287">
        <f>C6+C7+C9+C10+C11+C13+C14+C15+C16+C17</f>
        <v>1472187552</v>
      </c>
      <c r="D18" s="121" t="s">
        <v>372</v>
      </c>
      <c r="E18" s="292">
        <f>SUM(E6:E17)</f>
        <v>1809398215</v>
      </c>
      <c r="F18" s="746"/>
    </row>
    <row r="19" spans="1:6" ht="12.75" customHeight="1">
      <c r="A19" s="311" t="s">
        <v>31</v>
      </c>
      <c r="B19" s="312" t="s">
        <v>369</v>
      </c>
      <c r="C19" s="461">
        <f>+C20+C21+C22+C23</f>
        <v>357108321</v>
      </c>
      <c r="D19" s="313" t="s">
        <v>189</v>
      </c>
      <c r="E19" s="293"/>
      <c r="F19" s="746"/>
    </row>
    <row r="20" spans="1:6" ht="12.75" customHeight="1">
      <c r="A20" s="314" t="s">
        <v>32</v>
      </c>
      <c r="B20" s="313" t="s">
        <v>221</v>
      </c>
      <c r="C20" s="77">
        <v>357108321</v>
      </c>
      <c r="D20" s="313" t="s">
        <v>371</v>
      </c>
      <c r="E20" s="78"/>
      <c r="F20" s="746"/>
    </row>
    <row r="21" spans="1:6" ht="12.75" customHeight="1">
      <c r="A21" s="314" t="s">
        <v>33</v>
      </c>
      <c r="B21" s="313" t="s">
        <v>222</v>
      </c>
      <c r="C21" s="77"/>
      <c r="D21" s="313" t="s">
        <v>154</v>
      </c>
      <c r="E21" s="78"/>
      <c r="F21" s="746"/>
    </row>
    <row r="22" spans="1:6" ht="12.75" customHeight="1">
      <c r="A22" s="314" t="s">
        <v>34</v>
      </c>
      <c r="B22" s="313" t="s">
        <v>226</v>
      </c>
      <c r="C22" s="77"/>
      <c r="D22" s="313" t="s">
        <v>155</v>
      </c>
      <c r="E22" s="78"/>
      <c r="F22" s="746"/>
    </row>
    <row r="23" spans="1:6" ht="12.75" customHeight="1">
      <c r="A23" s="314" t="s">
        <v>35</v>
      </c>
      <c r="B23" s="321" t="s">
        <v>232</v>
      </c>
      <c r="C23" s="77"/>
      <c r="D23" s="312" t="s">
        <v>228</v>
      </c>
      <c r="E23" s="78"/>
      <c r="F23" s="746"/>
    </row>
    <row r="24" spans="1:6" ht="12.75" customHeight="1">
      <c r="A24" s="314" t="s">
        <v>36</v>
      </c>
      <c r="B24" s="313" t="s">
        <v>370</v>
      </c>
      <c r="C24" s="315">
        <f>+C25+C26</f>
        <v>0</v>
      </c>
      <c r="D24" s="313" t="s">
        <v>190</v>
      </c>
      <c r="E24" s="78"/>
      <c r="F24" s="746"/>
    </row>
    <row r="25" spans="1:6" ht="12.75" customHeight="1">
      <c r="A25" s="311" t="s">
        <v>37</v>
      </c>
      <c r="B25" s="312" t="s">
        <v>368</v>
      </c>
      <c r="C25" s="288"/>
      <c r="D25" s="306" t="s">
        <v>455</v>
      </c>
      <c r="E25" s="293"/>
      <c r="F25" s="746"/>
    </row>
    <row r="26" spans="1:6" ht="12.75" customHeight="1">
      <c r="A26" s="314" t="s">
        <v>38</v>
      </c>
      <c r="B26" s="321" t="s">
        <v>639</v>
      </c>
      <c r="C26" s="77"/>
      <c r="D26" s="308" t="s">
        <v>461</v>
      </c>
      <c r="E26" s="78"/>
      <c r="F26" s="746"/>
    </row>
    <row r="27" spans="1:6" ht="12.75" customHeight="1">
      <c r="A27" s="307" t="s">
        <v>39</v>
      </c>
      <c r="B27" s="313" t="s">
        <v>466</v>
      </c>
      <c r="C27" s="77"/>
      <c r="D27" s="308" t="s">
        <v>462</v>
      </c>
      <c r="E27" s="78"/>
      <c r="F27" s="746"/>
    </row>
    <row r="28" spans="1:6" ht="12.75" customHeight="1" thickBot="1">
      <c r="A28" s="367" t="s">
        <v>40</v>
      </c>
      <c r="B28" s="312" t="s">
        <v>326</v>
      </c>
      <c r="C28" s="288"/>
      <c r="D28" s="405" t="s">
        <v>667</v>
      </c>
      <c r="E28" s="293">
        <f>'KV_1.1.sz.mell.'!C147</f>
        <v>19897658</v>
      </c>
      <c r="F28" s="746"/>
    </row>
    <row r="29" spans="1:6" ht="15.75" customHeight="1" thickBot="1">
      <c r="A29" s="310" t="s">
        <v>41</v>
      </c>
      <c r="B29" s="121" t="s">
        <v>474</v>
      </c>
      <c r="C29" s="287">
        <f>+C19+C24+C27+C28</f>
        <v>357108321</v>
      </c>
      <c r="D29" s="121" t="s">
        <v>476</v>
      </c>
      <c r="E29" s="292">
        <f>SUM(E19:E28)</f>
        <v>19897658</v>
      </c>
      <c r="F29" s="746"/>
    </row>
    <row r="30" spans="1:6" ht="13.5" thickBot="1">
      <c r="A30" s="310" t="s">
        <v>42</v>
      </c>
      <c r="B30" s="316" t="s">
        <v>475</v>
      </c>
      <c r="C30" s="317">
        <f>+C18+C29</f>
        <v>1829295873</v>
      </c>
      <c r="D30" s="316" t="s">
        <v>477</v>
      </c>
      <c r="E30" s="317">
        <f>+E18+E29</f>
        <v>1829295873</v>
      </c>
      <c r="F30" s="746"/>
    </row>
    <row r="31" spans="1:6" ht="13.5" thickBot="1">
      <c r="A31" s="310" t="s">
        <v>43</v>
      </c>
      <c r="B31" s="316" t="s">
        <v>167</v>
      </c>
      <c r="C31" s="317">
        <f>IF(C18-E18&lt;0,E18-C18,"-")</f>
        <v>337210663</v>
      </c>
      <c r="D31" s="316" t="s">
        <v>168</v>
      </c>
      <c r="E31" s="317" t="str">
        <f>IF(C18-E18&gt;0,C18-E18,"-")</f>
        <v>-</v>
      </c>
      <c r="F31" s="746"/>
    </row>
    <row r="32" spans="1:6" ht="13.5" thickBot="1">
      <c r="A32" s="310" t="s">
        <v>44</v>
      </c>
      <c r="B32" s="316" t="s">
        <v>555</v>
      </c>
      <c r="C32" s="317" t="str">
        <f>IF(C30-E30&lt;0,E30-C30,"-")</f>
        <v>-</v>
      </c>
      <c r="D32" s="316" t="s">
        <v>556</v>
      </c>
      <c r="E32" s="317" t="str">
        <f>IF(C30-E30&gt;0,C30-E30,"-")</f>
        <v>-</v>
      </c>
      <c r="F32" s="746"/>
    </row>
    <row r="33" spans="1:5" ht="15.75">
      <c r="A33" s="747">
        <f>IF(C32&lt;&gt;"-","Nem lehet bruttó hiány, mert az Mötv. 111. § (4) bekezédse szerint A költségvetési rendeletben működési hiány nem tervezhető.","")</f>
      </c>
      <c r="B33" s="747"/>
      <c r="C33" s="747"/>
      <c r="D33" s="747"/>
      <c r="E33" s="747"/>
    </row>
  </sheetData>
  <sheetProtection sheet="1"/>
  <mergeCells count="3">
    <mergeCell ref="A3:A4"/>
    <mergeCell ref="F1:F32"/>
    <mergeCell ref="A33:E33"/>
  </mergeCells>
  <conditionalFormatting sqref="C32">
    <cfRule type="cellIs" priority="1" dxfId="5" operator="notEqual" stopIfTrue="1">
      <formula>"-"</formula>
    </cfRule>
  </conditionalFormatting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Batka Brigitta</dc:creator>
  <cp:keywords/>
  <dc:description/>
  <cp:lastModifiedBy>darabos.orsolya</cp:lastModifiedBy>
  <cp:lastPrinted>2021-03-08T15:12:48Z</cp:lastPrinted>
  <dcterms:created xsi:type="dcterms:W3CDTF">1999-10-30T10:30:45Z</dcterms:created>
  <dcterms:modified xsi:type="dcterms:W3CDTF">2021-03-08T15:18:29Z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